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Камчатка\Наша работа\31.08.2022\ПРИЛОЖЕНИЯ\"/>
    </mc:Choice>
  </mc:AlternateContent>
  <xr:revisionPtr revIDLastSave="0" documentId="13_ncr:1_{6C5B8CA3-CB5B-4281-94CB-3080A928060C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3" i="1" l="1"/>
  <c r="D18" i="1"/>
  <c r="D13" i="1"/>
  <c r="P36" i="1"/>
  <c r="P37" i="1"/>
  <c r="P38" i="1"/>
  <c r="P48" i="1" s="1"/>
  <c r="P39" i="1"/>
  <c r="P40" i="1"/>
  <c r="P41" i="1"/>
  <c r="P42" i="1"/>
  <c r="P43" i="1"/>
  <c r="P44" i="1"/>
  <c r="P45" i="1"/>
  <c r="P46" i="1"/>
  <c r="P47" i="1"/>
  <c r="P35" i="1"/>
  <c r="O36" i="1"/>
  <c r="O37" i="1"/>
  <c r="O38" i="1"/>
  <c r="O39" i="1"/>
  <c r="O40" i="1"/>
  <c r="O41" i="1"/>
  <c r="O42" i="1"/>
  <c r="O43" i="1"/>
  <c r="O44" i="1"/>
  <c r="O45" i="1"/>
  <c r="O46" i="1"/>
  <c r="O47" i="1"/>
  <c r="O35" i="1"/>
  <c r="O48" i="1" s="1"/>
  <c r="N36" i="1"/>
  <c r="N37" i="1"/>
  <c r="N38" i="1"/>
  <c r="N48" i="1" s="1"/>
  <c r="N49" i="1" s="1"/>
  <c r="N39" i="1"/>
  <c r="N40" i="1"/>
  <c r="N41" i="1"/>
  <c r="N42" i="1"/>
  <c r="N43" i="1"/>
  <c r="N44" i="1"/>
  <c r="N45" i="1"/>
  <c r="N46" i="1"/>
  <c r="N47" i="1"/>
  <c r="N35" i="1"/>
  <c r="M36" i="1"/>
  <c r="M37" i="1"/>
  <c r="M38" i="1"/>
  <c r="M39" i="1"/>
  <c r="M40" i="1"/>
  <c r="M41" i="1"/>
  <c r="M42" i="1"/>
  <c r="M43" i="1"/>
  <c r="M44" i="1"/>
  <c r="M45" i="1"/>
  <c r="M46" i="1"/>
  <c r="M47" i="1"/>
  <c r="M35" i="1"/>
  <c r="M48" i="1" s="1"/>
  <c r="L36" i="1"/>
  <c r="L37" i="1"/>
  <c r="L38" i="1"/>
  <c r="L48" i="1" s="1"/>
  <c r="L39" i="1"/>
  <c r="L40" i="1"/>
  <c r="L41" i="1"/>
  <c r="L42" i="1"/>
  <c r="L43" i="1"/>
  <c r="L44" i="1"/>
  <c r="L45" i="1"/>
  <c r="L46" i="1"/>
  <c r="L47" i="1"/>
  <c r="L35" i="1"/>
  <c r="D48" i="1"/>
  <c r="D49" i="1" s="1"/>
  <c r="K36" i="1"/>
  <c r="K37" i="1"/>
  <c r="K38" i="1"/>
  <c r="K39" i="1"/>
  <c r="K40" i="1"/>
  <c r="K41" i="1"/>
  <c r="K42" i="1"/>
  <c r="K43" i="1"/>
  <c r="K44" i="1"/>
  <c r="K45" i="1"/>
  <c r="K46" i="1"/>
  <c r="K47" i="1"/>
  <c r="K35" i="1"/>
  <c r="K48" i="1" s="1"/>
  <c r="J36" i="1"/>
  <c r="J37" i="1"/>
  <c r="J38" i="1"/>
  <c r="J39" i="1"/>
  <c r="J40" i="1"/>
  <c r="J41" i="1"/>
  <c r="J42" i="1"/>
  <c r="J43" i="1"/>
  <c r="J44" i="1"/>
  <c r="J45" i="1"/>
  <c r="J46" i="1"/>
  <c r="J47" i="1"/>
  <c r="J35" i="1"/>
  <c r="J48" i="1" s="1"/>
  <c r="I36" i="1"/>
  <c r="I37" i="1"/>
  <c r="I38" i="1"/>
  <c r="I39" i="1"/>
  <c r="I40" i="1"/>
  <c r="I41" i="1"/>
  <c r="I42" i="1"/>
  <c r="I43" i="1"/>
  <c r="I44" i="1"/>
  <c r="I45" i="1"/>
  <c r="I46" i="1"/>
  <c r="I47" i="1"/>
  <c r="I35" i="1"/>
  <c r="I48" i="1" s="1"/>
  <c r="H36" i="1"/>
  <c r="H37" i="1"/>
  <c r="H38" i="1"/>
  <c r="H39" i="1"/>
  <c r="H40" i="1"/>
  <c r="H41" i="1"/>
  <c r="H42" i="1"/>
  <c r="H43" i="1"/>
  <c r="H44" i="1"/>
  <c r="H45" i="1"/>
  <c r="H46" i="1"/>
  <c r="H47" i="1"/>
  <c r="H35" i="1"/>
  <c r="H48" i="1" s="1"/>
  <c r="G36" i="1"/>
  <c r="G37" i="1"/>
  <c r="G38" i="1"/>
  <c r="G39" i="1"/>
  <c r="G40" i="1"/>
  <c r="G41" i="1"/>
  <c r="G42" i="1"/>
  <c r="G43" i="1"/>
  <c r="G44" i="1"/>
  <c r="G45" i="1"/>
  <c r="G46" i="1"/>
  <c r="G47" i="1"/>
  <c r="G35" i="1"/>
  <c r="G48" i="1" s="1"/>
  <c r="F36" i="1"/>
  <c r="F37" i="1"/>
  <c r="F38" i="1"/>
  <c r="F39" i="1"/>
  <c r="F40" i="1"/>
  <c r="F41" i="1"/>
  <c r="F42" i="1"/>
  <c r="F43" i="1"/>
  <c r="F44" i="1"/>
  <c r="F45" i="1"/>
  <c r="F46" i="1"/>
  <c r="F47" i="1"/>
  <c r="F35" i="1"/>
  <c r="F48" i="1" s="1"/>
  <c r="E36" i="1"/>
  <c r="E37" i="1"/>
  <c r="E38" i="1"/>
  <c r="E39" i="1"/>
  <c r="E40" i="1"/>
  <c r="E41" i="1"/>
  <c r="E42" i="1"/>
  <c r="E43" i="1"/>
  <c r="E44" i="1"/>
  <c r="E45" i="1"/>
  <c r="E46" i="1"/>
  <c r="E47" i="1"/>
  <c r="E35" i="1"/>
  <c r="E48" i="1" s="1"/>
  <c r="E49" i="1" s="1"/>
  <c r="P21" i="1"/>
  <c r="P22" i="1"/>
  <c r="P23" i="1"/>
  <c r="P24" i="1"/>
  <c r="P25" i="1"/>
  <c r="P26" i="1"/>
  <c r="P27" i="1"/>
  <c r="P28" i="1"/>
  <c r="P29" i="1"/>
  <c r="P30" i="1"/>
  <c r="P31" i="1"/>
  <c r="P32" i="1"/>
  <c r="P20" i="1"/>
  <c r="P33" i="1" s="1"/>
  <c r="O21" i="1"/>
  <c r="O22" i="1"/>
  <c r="O23" i="1"/>
  <c r="O24" i="1"/>
  <c r="O25" i="1"/>
  <c r="O26" i="1"/>
  <c r="O27" i="1"/>
  <c r="O28" i="1"/>
  <c r="O29" i="1"/>
  <c r="O30" i="1"/>
  <c r="O31" i="1"/>
  <c r="O32" i="1"/>
  <c r="O20" i="1"/>
  <c r="O33" i="1" s="1"/>
  <c r="N21" i="1"/>
  <c r="N22" i="1"/>
  <c r="N23" i="1"/>
  <c r="N33" i="1" s="1"/>
  <c r="N24" i="1"/>
  <c r="N25" i="1"/>
  <c r="N26" i="1"/>
  <c r="N27" i="1"/>
  <c r="N28" i="1"/>
  <c r="N29" i="1"/>
  <c r="N30" i="1"/>
  <c r="N31" i="1"/>
  <c r="N32" i="1"/>
  <c r="N20" i="1"/>
  <c r="M21" i="1"/>
  <c r="M22" i="1"/>
  <c r="M33" i="1" s="1"/>
  <c r="M23" i="1"/>
  <c r="M24" i="1"/>
  <c r="M25" i="1"/>
  <c r="M26" i="1"/>
  <c r="M27" i="1"/>
  <c r="M28" i="1"/>
  <c r="M29" i="1"/>
  <c r="M30" i="1"/>
  <c r="M31" i="1"/>
  <c r="M32" i="1"/>
  <c r="M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 s="1"/>
  <c r="L20" i="1"/>
  <c r="K21" i="1"/>
  <c r="K22" i="1"/>
  <c r="K23" i="1"/>
  <c r="K24" i="1"/>
  <c r="K25" i="1"/>
  <c r="K26" i="1"/>
  <c r="K27" i="1"/>
  <c r="K28" i="1"/>
  <c r="K29" i="1"/>
  <c r="K30" i="1"/>
  <c r="K31" i="1"/>
  <c r="K32" i="1"/>
  <c r="K20" i="1"/>
  <c r="K33" i="1" s="1"/>
  <c r="J21" i="1"/>
  <c r="J22" i="1"/>
  <c r="J23" i="1"/>
  <c r="J24" i="1"/>
  <c r="J25" i="1"/>
  <c r="J26" i="1"/>
  <c r="J27" i="1"/>
  <c r="J28" i="1"/>
  <c r="J33" i="1" s="1"/>
  <c r="J29" i="1"/>
  <c r="J30" i="1"/>
  <c r="J31" i="1"/>
  <c r="J32" i="1"/>
  <c r="J20" i="1"/>
  <c r="I21" i="1"/>
  <c r="I22" i="1"/>
  <c r="I23" i="1"/>
  <c r="I24" i="1"/>
  <c r="I25" i="1"/>
  <c r="I26" i="1"/>
  <c r="I27" i="1"/>
  <c r="I28" i="1"/>
  <c r="I29" i="1"/>
  <c r="I30" i="1"/>
  <c r="I31" i="1"/>
  <c r="I32" i="1"/>
  <c r="I20" i="1"/>
  <c r="I33" i="1" s="1"/>
  <c r="H33" i="1"/>
  <c r="H21" i="1"/>
  <c r="H22" i="1"/>
  <c r="H23" i="1"/>
  <c r="H24" i="1"/>
  <c r="H25" i="1"/>
  <c r="H26" i="1"/>
  <c r="H27" i="1"/>
  <c r="H28" i="1"/>
  <c r="H29" i="1"/>
  <c r="H30" i="1"/>
  <c r="H31" i="1"/>
  <c r="H32" i="1"/>
  <c r="H20" i="1"/>
  <c r="G21" i="1"/>
  <c r="G22" i="1"/>
  <c r="G23" i="1"/>
  <c r="G24" i="1"/>
  <c r="G25" i="1"/>
  <c r="G26" i="1"/>
  <c r="G27" i="1"/>
  <c r="G28" i="1"/>
  <c r="G29" i="1"/>
  <c r="G30" i="1"/>
  <c r="G31" i="1"/>
  <c r="G32" i="1"/>
  <c r="G20" i="1"/>
  <c r="G33" i="1" s="1"/>
  <c r="F21" i="1"/>
  <c r="F22" i="1"/>
  <c r="F23" i="1"/>
  <c r="F24" i="1"/>
  <c r="F25" i="1"/>
  <c r="F26" i="1"/>
  <c r="F27" i="1"/>
  <c r="F28" i="1"/>
  <c r="F33" i="1" s="1"/>
  <c r="F29" i="1"/>
  <c r="F30" i="1"/>
  <c r="F31" i="1"/>
  <c r="F32" i="1"/>
  <c r="F20" i="1"/>
  <c r="E21" i="1"/>
  <c r="E22" i="1"/>
  <c r="E23" i="1"/>
  <c r="E24" i="1"/>
  <c r="E25" i="1"/>
  <c r="E26" i="1"/>
  <c r="E27" i="1"/>
  <c r="E28" i="1"/>
  <c r="E29" i="1"/>
  <c r="E30" i="1"/>
  <c r="E31" i="1"/>
  <c r="E32" i="1"/>
  <c r="E20" i="1"/>
  <c r="E33" i="1" s="1"/>
  <c r="P16" i="1"/>
  <c r="P18" i="1" s="1"/>
  <c r="P17" i="1"/>
  <c r="P15" i="1"/>
  <c r="O16" i="1"/>
  <c r="O17" i="1"/>
  <c r="O15" i="1"/>
  <c r="O18" i="1" s="1"/>
  <c r="N16" i="1"/>
  <c r="N17" i="1"/>
  <c r="N15" i="1"/>
  <c r="N18" i="1" s="1"/>
  <c r="M16" i="1"/>
  <c r="M17" i="1"/>
  <c r="M15" i="1"/>
  <c r="M18" i="1" s="1"/>
  <c r="L16" i="1"/>
  <c r="L18" i="1" s="1"/>
  <c r="L17" i="1"/>
  <c r="L15" i="1"/>
  <c r="K16" i="1"/>
  <c r="K17" i="1"/>
  <c r="K15" i="1"/>
  <c r="K18" i="1" s="1"/>
  <c r="J16" i="1"/>
  <c r="J17" i="1"/>
  <c r="J15" i="1"/>
  <c r="J18" i="1" s="1"/>
  <c r="I16" i="1"/>
  <c r="I17" i="1"/>
  <c r="I15" i="1"/>
  <c r="I18" i="1" s="1"/>
  <c r="H16" i="1"/>
  <c r="H18" i="1" s="1"/>
  <c r="H17" i="1"/>
  <c r="H15" i="1"/>
  <c r="G16" i="1"/>
  <c r="G17" i="1"/>
  <c r="G15" i="1"/>
  <c r="G18" i="1" s="1"/>
  <c r="F16" i="1"/>
  <c r="F17" i="1"/>
  <c r="F15" i="1"/>
  <c r="F18" i="1" s="1"/>
  <c r="E16" i="1"/>
  <c r="E17" i="1"/>
  <c r="E15" i="1"/>
  <c r="E18" i="1" s="1"/>
  <c r="P11" i="1"/>
  <c r="P13" i="1" s="1"/>
  <c r="P12" i="1"/>
  <c r="P10" i="1"/>
  <c r="O11" i="1"/>
  <c r="O12" i="1"/>
  <c r="O10" i="1"/>
  <c r="O13" i="1" s="1"/>
  <c r="N11" i="1"/>
  <c r="N12" i="1"/>
  <c r="N10" i="1"/>
  <c r="N13" i="1" s="1"/>
  <c r="M11" i="1"/>
  <c r="M12" i="1"/>
  <c r="M10" i="1"/>
  <c r="M13" i="1" s="1"/>
  <c r="L11" i="1"/>
  <c r="L13" i="1" s="1"/>
  <c r="L12" i="1"/>
  <c r="L10" i="1"/>
  <c r="K11" i="1"/>
  <c r="K12" i="1"/>
  <c r="K10" i="1"/>
  <c r="K13" i="1" s="1"/>
  <c r="J11" i="1"/>
  <c r="J12" i="1"/>
  <c r="J10" i="1"/>
  <c r="J13" i="1" s="1"/>
  <c r="I11" i="1"/>
  <c r="I12" i="1"/>
  <c r="I10" i="1"/>
  <c r="I13" i="1" s="1"/>
  <c r="H11" i="1"/>
  <c r="H13" i="1" s="1"/>
  <c r="H12" i="1"/>
  <c r="H10" i="1"/>
  <c r="G11" i="1"/>
  <c r="G12" i="1"/>
  <c r="G10" i="1"/>
  <c r="G13" i="1" s="1"/>
  <c r="F11" i="1"/>
  <c r="F12" i="1"/>
  <c r="F10" i="1"/>
  <c r="F13" i="1" s="1"/>
  <c r="E11" i="1"/>
  <c r="E12" i="1"/>
  <c r="E10" i="1"/>
  <c r="E13" i="1" s="1"/>
  <c r="F49" i="1" l="1"/>
  <c r="J49" i="1"/>
  <c r="M49" i="1"/>
  <c r="G49" i="1"/>
  <c r="K49" i="1"/>
  <c r="L49" i="1"/>
  <c r="P49" i="1"/>
  <c r="I49" i="1"/>
  <c r="H49" i="1"/>
  <c r="O49" i="1"/>
</calcChain>
</file>

<file path=xl/sharedStrings.xml><?xml version="1.0" encoding="utf-8"?>
<sst xmlns="http://schemas.openxmlformats.org/spreadsheetml/2006/main" count="61" uniqueCount="41">
  <si>
    <t>Черный металл</t>
  </si>
  <si>
    <t>Цветной металл</t>
  </si>
  <si>
    <t>Текстиль</t>
  </si>
  <si>
    <t>Стекло</t>
  </si>
  <si>
    <t>Процентное содержание, % по массе</t>
  </si>
  <si>
    <t>Муниципальный район</t>
  </si>
  <si>
    <t>Количество отходов т</t>
  </si>
  <si>
    <t>ИТОГО:</t>
  </si>
  <si>
    <t>ПЭТ</t>
  </si>
  <si>
    <t>Камчатский край</t>
  </si>
  <si>
    <t>Петропавловск-Камчатский городской округ</t>
  </si>
  <si>
    <t xml:space="preserve">Вилючинский городской округ </t>
  </si>
  <si>
    <t>Алеутский муниципальный район</t>
  </si>
  <si>
    <t>Быстринский муниципальный район</t>
  </si>
  <si>
    <t>Елизовский муниципальный район</t>
  </si>
  <si>
    <t>Мильковский муниципальный район</t>
  </si>
  <si>
    <t>Соболевский муниципальный район</t>
  </si>
  <si>
    <t>Усть-Большерецкий муниципальный район</t>
  </si>
  <si>
    <t>Усть-Камчатский муниципальный район</t>
  </si>
  <si>
    <t>Муниципальные образования территории с особым статусом - Корякский округ</t>
  </si>
  <si>
    <t>Городской округ поселок Палана</t>
  </si>
  <si>
    <t>Карагинский муниципальный район</t>
  </si>
  <si>
    <t>Олюторский муниципальный район</t>
  </si>
  <si>
    <t>Пенжинский муниципальный район</t>
  </si>
  <si>
    <t>Тигильский муниципальный район</t>
  </si>
  <si>
    <t>Пищевые отходы</t>
  </si>
  <si>
    <t>Картон/ макулатура</t>
  </si>
  <si>
    <t>Полимеры</t>
  </si>
  <si>
    <t>Пленка</t>
  </si>
  <si>
    <t>Пластик</t>
  </si>
  <si>
    <t>Кожа, резина</t>
  </si>
  <si>
    <t>Прочее</t>
  </si>
  <si>
    <t>г.Елизово</t>
  </si>
  <si>
    <t>МКД в населенных пунктах с населением свыше 15000 человек</t>
  </si>
  <si>
    <t>Население, человек</t>
  </si>
  <si>
    <t>ИЖС в населенных пунктах с населением свыше 15000 человек</t>
  </si>
  <si>
    <t>МКД в населенных пунктах с населением менее 15000 человек</t>
  </si>
  <si>
    <t>ИЖС в населенных пунктах с населением менее 15000 человек</t>
  </si>
  <si>
    <t>Морфологический состав ТКО, образующихся в жилом фонде Камчатского края</t>
  </si>
  <si>
    <t>ИТОГО</t>
  </si>
  <si>
    <t>ПРИЛОЖЕНИЕ 4.2.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</si>
</sst>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/>
    <xf numFmtId="0" fontId="3" fillId="0" borderId="1" xfId="0" applyFont="1" applyBorder="1"/>
    <xf numFmtId="0" fontId="4" fillId="3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1" fontId="6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7" fillId="0" borderId="0" xfId="0" applyFont="1"/>
    <xf numFmtId="0" fontId="5" fillId="0" borderId="0" xfId="0" applyFont="1"/>
    <xf numFmtId="164" fontId="4" fillId="3" borderId="1" xfId="0" applyNumberFormat="1" applyFont="1" applyFill="1" applyBorder="1"/>
    <xf numFmtId="0" fontId="1" fillId="3" borderId="0" xfId="0" applyFont="1" applyFill="1"/>
    <xf numFmtId="0" fontId="8" fillId="3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164" fontId="8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Border="1"/>
    <xf numFmtId="0" fontId="1" fillId="3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2"/>
  <sheetViews>
    <sheetView tabSelected="1" zoomScaleNormal="100" workbookViewId="0">
      <selection activeCell="T7" sqref="T7"/>
    </sheetView>
  </sheetViews>
  <sheetFormatPr defaultRowHeight="15" x14ac:dyDescent="0.25"/>
  <cols>
    <col min="1" max="1" width="35.28515625" customWidth="1"/>
    <col min="2" max="2" width="58.5703125" customWidth="1"/>
    <col min="3" max="3" width="17.85546875" customWidth="1"/>
    <col min="4" max="4" width="17.28515625" customWidth="1"/>
    <col min="5" max="5" width="16" customWidth="1"/>
    <col min="6" max="6" width="15.5703125" customWidth="1"/>
    <col min="7" max="7" width="15" customWidth="1"/>
    <col min="8" max="8" width="12.85546875" customWidth="1"/>
    <col min="9" max="9" width="15.42578125" customWidth="1"/>
    <col min="10" max="10" width="14.28515625" customWidth="1"/>
    <col min="11" max="11" width="15" customWidth="1"/>
    <col min="12" max="12" width="13.42578125" customWidth="1"/>
    <col min="13" max="13" width="14.28515625" customWidth="1"/>
    <col min="14" max="14" width="13.7109375" customWidth="1"/>
    <col min="15" max="15" width="12.85546875" customWidth="1"/>
    <col min="16" max="16" width="17.42578125" customWidth="1"/>
    <col min="17" max="17" width="18.85546875" customWidth="1"/>
  </cols>
  <sheetData>
    <row r="1" spans="1:17" x14ac:dyDescent="0.25">
      <c r="A1" s="14"/>
      <c r="B1" s="15"/>
    </row>
    <row r="2" spans="1:17" x14ac:dyDescent="0.25">
      <c r="B2" s="16"/>
    </row>
    <row r="3" spans="1:17" x14ac:dyDescent="0.25">
      <c r="B3" s="16" t="s">
        <v>40</v>
      </c>
    </row>
    <row r="4" spans="1:17" ht="18.75" x14ac:dyDescent="0.3">
      <c r="B4" s="16"/>
      <c r="D4" s="27"/>
      <c r="E4" s="27"/>
      <c r="F4" s="28" t="s">
        <v>38</v>
      </c>
      <c r="G4" s="28"/>
      <c r="H4" s="28"/>
      <c r="I4" s="28"/>
      <c r="J4" s="28"/>
      <c r="K4" s="27"/>
    </row>
    <row r="5" spans="1:17" x14ac:dyDescent="0.25">
      <c r="B5" s="16"/>
    </row>
    <row r="6" spans="1:17" ht="101.25" customHeight="1" x14ac:dyDescent="0.25">
      <c r="A6" s="37"/>
      <c r="B6" s="34" t="s">
        <v>5</v>
      </c>
      <c r="C6" s="39" t="s">
        <v>34</v>
      </c>
      <c r="D6" s="35" t="s">
        <v>6</v>
      </c>
      <c r="E6" s="7" t="s">
        <v>25</v>
      </c>
      <c r="F6" s="7" t="s">
        <v>26</v>
      </c>
      <c r="G6" s="7" t="s">
        <v>0</v>
      </c>
      <c r="H6" s="7" t="s">
        <v>1</v>
      </c>
      <c r="I6" s="7" t="s">
        <v>2</v>
      </c>
      <c r="J6" s="7" t="s">
        <v>3</v>
      </c>
      <c r="K6" s="7" t="s">
        <v>27</v>
      </c>
      <c r="L6" s="7" t="s">
        <v>28</v>
      </c>
      <c r="M6" s="7" t="s">
        <v>29</v>
      </c>
      <c r="N6" s="7" t="s">
        <v>8</v>
      </c>
      <c r="O6" s="7" t="s">
        <v>30</v>
      </c>
      <c r="P6" s="7" t="s">
        <v>31</v>
      </c>
      <c r="Q6" s="41"/>
    </row>
    <row r="7" spans="1:17" ht="15.75" customHeight="1" x14ac:dyDescent="0.25">
      <c r="A7" s="38"/>
      <c r="B7" s="34"/>
      <c r="C7" s="40"/>
      <c r="D7" s="35"/>
      <c r="E7" s="36" t="s">
        <v>4</v>
      </c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41"/>
    </row>
    <row r="8" spans="1:17" ht="18.75" x14ac:dyDescent="0.25">
      <c r="A8" s="5"/>
      <c r="B8" s="17" t="s">
        <v>9</v>
      </c>
      <c r="C8" s="18">
        <v>312704</v>
      </c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10"/>
      <c r="P8" s="10"/>
      <c r="Q8" s="41"/>
    </row>
    <row r="9" spans="1:17" ht="39.75" customHeight="1" x14ac:dyDescent="0.25">
      <c r="A9" s="23" t="s">
        <v>33</v>
      </c>
      <c r="B9" s="19"/>
      <c r="C9" s="18"/>
      <c r="D9" s="8"/>
      <c r="E9" s="22">
        <v>51.55</v>
      </c>
      <c r="F9" s="22">
        <v>2.83</v>
      </c>
      <c r="G9" s="22">
        <v>2.0499999999999998</v>
      </c>
      <c r="H9" s="22">
        <v>0.68</v>
      </c>
      <c r="I9" s="22">
        <v>4.0599999999999996</v>
      </c>
      <c r="J9" s="22">
        <v>5.55</v>
      </c>
      <c r="K9" s="22">
        <v>1.81</v>
      </c>
      <c r="L9" s="22">
        <v>1.63</v>
      </c>
      <c r="M9" s="22">
        <v>2.4700000000000002</v>
      </c>
      <c r="N9" s="22">
        <v>2.13</v>
      </c>
      <c r="O9" s="6">
        <v>4.9800000000000004</v>
      </c>
      <c r="P9" s="6">
        <v>20.260000000000002</v>
      </c>
      <c r="Q9" s="41"/>
    </row>
    <row r="10" spans="1:17" ht="15.75" x14ac:dyDescent="0.25">
      <c r="A10" s="6"/>
      <c r="B10" s="19" t="s">
        <v>10</v>
      </c>
      <c r="C10" s="18">
        <v>177486</v>
      </c>
      <c r="D10" s="8">
        <v>56646.805249999998</v>
      </c>
      <c r="E10" s="9">
        <f>D10*0.5155</f>
        <v>29201.428106374995</v>
      </c>
      <c r="F10" s="9">
        <f>D10*0.0283</f>
        <v>1603.1045885749998</v>
      </c>
      <c r="G10" s="9">
        <f>D10*0.0205</f>
        <v>1161.259507625</v>
      </c>
      <c r="H10" s="9">
        <f>D10*0.0068</f>
        <v>385.19827569999995</v>
      </c>
      <c r="I10" s="9">
        <f>D10*0.0406</f>
        <v>2299.86029315</v>
      </c>
      <c r="J10" s="9">
        <f>D10*0.0555</f>
        <v>3143.8976913749998</v>
      </c>
      <c r="K10" s="9">
        <f>D10*0.0181</f>
        <v>1025.3071750250001</v>
      </c>
      <c r="L10" s="9">
        <f>D10*0.0163</f>
        <v>923.34292557499987</v>
      </c>
      <c r="M10" s="9">
        <f>D10*0.0247</f>
        <v>1399.176089675</v>
      </c>
      <c r="N10" s="9">
        <f>D10*0.0213</f>
        <v>1206.5769518249999</v>
      </c>
      <c r="O10" s="10">
        <f>D10*0.0498</f>
        <v>2821.0109014499999</v>
      </c>
      <c r="P10" s="10">
        <f>D10*0.2026</f>
        <v>11476.64274365</v>
      </c>
      <c r="Q10" s="41"/>
    </row>
    <row r="11" spans="1:17" ht="15.75" x14ac:dyDescent="0.25">
      <c r="A11" s="6"/>
      <c r="B11" s="19" t="s">
        <v>11</v>
      </c>
      <c r="C11" s="18">
        <v>22428</v>
      </c>
      <c r="D11" s="8">
        <v>3777.847632</v>
      </c>
      <c r="E11" s="9">
        <f t="shared" ref="E11:E12" si="0">D11*0.5155</f>
        <v>1947.4804542959998</v>
      </c>
      <c r="F11" s="9">
        <f t="shared" ref="F11:F12" si="1">D11*0.0283</f>
        <v>106.9130879856</v>
      </c>
      <c r="G11" s="9">
        <f t="shared" ref="G11:G12" si="2">D11*0.0205</f>
        <v>77.445876456000008</v>
      </c>
      <c r="H11" s="9">
        <f t="shared" ref="H11:H12" si="3">D11*0.0068</f>
        <v>25.6893638976</v>
      </c>
      <c r="I11" s="9">
        <f t="shared" ref="I11:I12" si="4">D11*0.0406</f>
        <v>153.3806138592</v>
      </c>
      <c r="J11" s="9">
        <f t="shared" ref="J11:J12" si="5">D11*0.0555</f>
        <v>209.670543576</v>
      </c>
      <c r="K11" s="9">
        <f t="shared" ref="K11:K12" si="6">D11*0.0181</f>
        <v>68.37904213920001</v>
      </c>
      <c r="L11" s="9">
        <f t="shared" ref="L11:L12" si="7">D11*0.0163</f>
        <v>61.578916401599997</v>
      </c>
      <c r="M11" s="9">
        <f t="shared" ref="M11:M12" si="8">D11*0.0247</f>
        <v>93.312836510400004</v>
      </c>
      <c r="N11" s="9">
        <f t="shared" ref="N11:N12" si="9">D11*0.0213</f>
        <v>80.468154561600002</v>
      </c>
      <c r="O11" s="10">
        <f t="shared" ref="O11:O12" si="10">D11*0.0498</f>
        <v>188.1368120736</v>
      </c>
      <c r="P11" s="10">
        <f t="shared" ref="P11:P12" si="11">D11*0.2026</f>
        <v>765.39193024320002</v>
      </c>
      <c r="Q11" s="41"/>
    </row>
    <row r="12" spans="1:17" ht="15.75" x14ac:dyDescent="0.25">
      <c r="A12" s="6"/>
      <c r="B12" s="20" t="s">
        <v>32</v>
      </c>
      <c r="C12" s="20">
        <v>33662</v>
      </c>
      <c r="D12" s="8">
        <v>10037.613170000001</v>
      </c>
      <c r="E12" s="9">
        <f t="shared" si="0"/>
        <v>5174.3895891350003</v>
      </c>
      <c r="F12" s="9">
        <f t="shared" si="1"/>
        <v>284.064452711</v>
      </c>
      <c r="G12" s="9">
        <f t="shared" si="2"/>
        <v>205.77106998500003</v>
      </c>
      <c r="H12" s="9">
        <f t="shared" si="3"/>
        <v>68.255769556000004</v>
      </c>
      <c r="I12" s="9">
        <f t="shared" si="4"/>
        <v>407.527094702</v>
      </c>
      <c r="J12" s="9">
        <f t="shared" si="5"/>
        <v>557.08753093500002</v>
      </c>
      <c r="K12" s="9">
        <f t="shared" si="6"/>
        <v>181.68079837700003</v>
      </c>
      <c r="L12" s="9">
        <f t="shared" si="7"/>
        <v>163.613094671</v>
      </c>
      <c r="M12" s="9">
        <f t="shared" si="8"/>
        <v>247.92904529900002</v>
      </c>
      <c r="N12" s="9">
        <f t="shared" si="9"/>
        <v>213.80116052100001</v>
      </c>
      <c r="O12" s="10">
        <f t="shared" si="10"/>
        <v>499.87313586599998</v>
      </c>
      <c r="P12" s="10">
        <f t="shared" si="11"/>
        <v>2033.6204282420001</v>
      </c>
      <c r="Q12" s="41"/>
    </row>
    <row r="13" spans="1:17" s="30" customFormat="1" ht="15.75" x14ac:dyDescent="0.25">
      <c r="A13" s="11" t="s">
        <v>7</v>
      </c>
      <c r="B13" s="24"/>
      <c r="C13" s="24"/>
      <c r="D13" s="12">
        <f t="shared" ref="D13:P13" si="12">SUM(D10:D12)</f>
        <v>70462.266051999992</v>
      </c>
      <c r="E13" s="29">
        <f t="shared" si="12"/>
        <v>36323.298149805996</v>
      </c>
      <c r="F13" s="29">
        <f t="shared" si="12"/>
        <v>1994.0821292715998</v>
      </c>
      <c r="G13" s="29">
        <f t="shared" si="12"/>
        <v>1444.4764540659999</v>
      </c>
      <c r="H13" s="29">
        <f t="shared" si="12"/>
        <v>479.14340915359998</v>
      </c>
      <c r="I13" s="29">
        <f t="shared" si="12"/>
        <v>2860.7680017111998</v>
      </c>
      <c r="J13" s="29">
        <f t="shared" si="12"/>
        <v>3910.6557658859997</v>
      </c>
      <c r="K13" s="29">
        <f t="shared" si="12"/>
        <v>1275.3670155412001</v>
      </c>
      <c r="L13" s="29">
        <f t="shared" si="12"/>
        <v>1148.5349366475998</v>
      </c>
      <c r="M13" s="29">
        <f t="shared" si="12"/>
        <v>1740.4179714844001</v>
      </c>
      <c r="N13" s="29">
        <f t="shared" si="12"/>
        <v>1500.8462669075998</v>
      </c>
      <c r="O13" s="24">
        <f t="shared" si="12"/>
        <v>3509.0208493895998</v>
      </c>
      <c r="P13" s="24">
        <f t="shared" si="12"/>
        <v>14275.655102135201</v>
      </c>
      <c r="Q13" s="42"/>
    </row>
    <row r="14" spans="1:17" ht="33.75" customHeight="1" x14ac:dyDescent="0.25">
      <c r="A14" s="23" t="s">
        <v>35</v>
      </c>
      <c r="B14" s="10"/>
      <c r="C14" s="10"/>
      <c r="D14" s="8"/>
      <c r="E14" s="22">
        <v>52.44</v>
      </c>
      <c r="F14" s="22">
        <v>2.91</v>
      </c>
      <c r="G14" s="22">
        <v>2.98</v>
      </c>
      <c r="H14" s="22">
        <v>0.7</v>
      </c>
      <c r="I14" s="22">
        <v>5.0199999999999996</v>
      </c>
      <c r="J14" s="22">
        <v>5.96</v>
      </c>
      <c r="K14" s="22">
        <v>1.73</v>
      </c>
      <c r="L14" s="22">
        <v>1.98</v>
      </c>
      <c r="M14" s="22">
        <v>3.56</v>
      </c>
      <c r="N14" s="22">
        <v>3.14</v>
      </c>
      <c r="O14" s="6">
        <v>5.01</v>
      </c>
      <c r="P14" s="6">
        <v>14.57</v>
      </c>
      <c r="Q14" s="41"/>
    </row>
    <row r="15" spans="1:17" ht="15.75" x14ac:dyDescent="0.25">
      <c r="A15" s="6"/>
      <c r="B15" s="19" t="s">
        <v>10</v>
      </c>
      <c r="C15" s="20">
        <v>3807</v>
      </c>
      <c r="D15" s="8">
        <v>1229.4478079999999</v>
      </c>
      <c r="E15" s="9">
        <f>D15*0.5244</f>
        <v>644.7224305151999</v>
      </c>
      <c r="F15" s="9">
        <f>D15*0.0291</f>
        <v>35.776931212800001</v>
      </c>
      <c r="G15" s="9">
        <f>D15*0.0298</f>
        <v>36.637544678399998</v>
      </c>
      <c r="H15" s="9">
        <f>D15*0.007</f>
        <v>8.606134656</v>
      </c>
      <c r="I15" s="9">
        <f>D15*0.0502</f>
        <v>61.718279961599997</v>
      </c>
      <c r="J15" s="9">
        <f>D15*0.0596</f>
        <v>73.275089356799995</v>
      </c>
      <c r="K15" s="9">
        <f>D15*0.0173</f>
        <v>21.269447078399999</v>
      </c>
      <c r="L15" s="9">
        <f>D15*0.0198</f>
        <v>24.3430665984</v>
      </c>
      <c r="M15" s="9">
        <f>D15*0.0356</f>
        <v>43.768341964799994</v>
      </c>
      <c r="N15" s="9">
        <f>D15*0.0314</f>
        <v>38.604661171199993</v>
      </c>
      <c r="O15" s="10">
        <f>D15*0.0501</f>
        <v>61.595335180799992</v>
      </c>
      <c r="P15" s="10">
        <f>D15*0.1457</f>
        <v>179.13054562559998</v>
      </c>
      <c r="Q15" s="41"/>
    </row>
    <row r="16" spans="1:17" ht="15.75" x14ac:dyDescent="0.25">
      <c r="A16" s="6"/>
      <c r="B16" s="19" t="s">
        <v>11</v>
      </c>
      <c r="C16" s="20">
        <v>45</v>
      </c>
      <c r="D16" s="8">
        <v>7.70472</v>
      </c>
      <c r="E16" s="9">
        <f t="shared" ref="E16:E17" si="13">D16*0.5244</f>
        <v>4.0403551679999996</v>
      </c>
      <c r="F16" s="9">
        <f t="shared" ref="F16:F17" si="14">D16*0.0291</f>
        <v>0.224207352</v>
      </c>
      <c r="G16" s="9">
        <f t="shared" ref="G16:G17" si="15">D16*0.0298</f>
        <v>0.22960065600000001</v>
      </c>
      <c r="H16" s="9">
        <f t="shared" ref="H16:H17" si="16">D16*0.007</f>
        <v>5.3933040000000002E-2</v>
      </c>
      <c r="I16" s="9">
        <f t="shared" ref="I16:I17" si="17">D16*0.0502</f>
        <v>0.38677694400000001</v>
      </c>
      <c r="J16" s="9">
        <f t="shared" ref="J16:J17" si="18">D16*0.0596</f>
        <v>0.45920131200000003</v>
      </c>
      <c r="K16" s="9">
        <f t="shared" ref="K16:K17" si="19">D16*0.0173</f>
        <v>0.13329165600000001</v>
      </c>
      <c r="L16" s="9">
        <f t="shared" ref="L16:L17" si="20">D16*0.0198</f>
        <v>0.152553456</v>
      </c>
      <c r="M16" s="9">
        <f t="shared" ref="M16:M17" si="21">D16*0.0356</f>
        <v>0.27428803200000001</v>
      </c>
      <c r="N16" s="9">
        <f t="shared" ref="N16:N17" si="22">D16*0.0314</f>
        <v>0.24192820799999998</v>
      </c>
      <c r="O16" s="10">
        <f t="shared" ref="O16:O17" si="23">D16*0.0501</f>
        <v>0.38600647199999999</v>
      </c>
      <c r="P16" s="10">
        <f t="shared" ref="P16:P17" si="24">D16*0.1457</f>
        <v>1.122577704</v>
      </c>
      <c r="Q16" s="41"/>
    </row>
    <row r="17" spans="1:17" ht="15.75" x14ac:dyDescent="0.25">
      <c r="A17" s="6"/>
      <c r="B17" s="20" t="s">
        <v>32</v>
      </c>
      <c r="C17" s="20">
        <v>5088</v>
      </c>
      <c r="D17" s="8">
        <v>1643.1390719999999</v>
      </c>
      <c r="E17" s="9">
        <f t="shared" si="13"/>
        <v>861.66212935679994</v>
      </c>
      <c r="F17" s="9">
        <f t="shared" si="14"/>
        <v>47.815346995200002</v>
      </c>
      <c r="G17" s="9">
        <f t="shared" si="15"/>
        <v>48.965544345600001</v>
      </c>
      <c r="H17" s="9">
        <f t="shared" si="16"/>
        <v>11.501973504</v>
      </c>
      <c r="I17" s="9">
        <f t="shared" si="17"/>
        <v>82.485581414400002</v>
      </c>
      <c r="J17" s="9">
        <f t="shared" si="18"/>
        <v>97.931088691200003</v>
      </c>
      <c r="K17" s="9">
        <f t="shared" si="19"/>
        <v>28.426305945599999</v>
      </c>
      <c r="L17" s="9">
        <f t="shared" si="20"/>
        <v>32.534153625599998</v>
      </c>
      <c r="M17" s="9">
        <f t="shared" si="21"/>
        <v>58.495750963199995</v>
      </c>
      <c r="N17" s="9">
        <f t="shared" si="22"/>
        <v>51.594566860799993</v>
      </c>
      <c r="O17" s="10">
        <f t="shared" si="23"/>
        <v>82.321267507199991</v>
      </c>
      <c r="P17" s="10">
        <f t="shared" si="24"/>
        <v>239.40536279039998</v>
      </c>
      <c r="Q17" s="41"/>
    </row>
    <row r="18" spans="1:17" s="30" customFormat="1" ht="15.75" x14ac:dyDescent="0.25">
      <c r="A18" s="11" t="s">
        <v>7</v>
      </c>
      <c r="B18" s="24"/>
      <c r="C18" s="24"/>
      <c r="D18" s="12">
        <f t="shared" ref="D18:P18" si="25">SUM(D15:D17)</f>
        <v>2880.2915999999996</v>
      </c>
      <c r="E18" s="29">
        <f t="shared" si="25"/>
        <v>1510.4249150399999</v>
      </c>
      <c r="F18" s="29">
        <f t="shared" si="25"/>
        <v>83.816485560000004</v>
      </c>
      <c r="G18" s="29">
        <f t="shared" si="25"/>
        <v>85.832689680000001</v>
      </c>
      <c r="H18" s="29">
        <f t="shared" si="25"/>
        <v>20.162041200000001</v>
      </c>
      <c r="I18" s="29">
        <f t="shared" si="25"/>
        <v>144.59063831999998</v>
      </c>
      <c r="J18" s="29">
        <f t="shared" si="25"/>
        <v>171.66537936</v>
      </c>
      <c r="K18" s="29">
        <f t="shared" si="25"/>
        <v>49.829044679999996</v>
      </c>
      <c r="L18" s="29">
        <f t="shared" si="25"/>
        <v>57.029773679999998</v>
      </c>
      <c r="M18" s="29">
        <f t="shared" si="25"/>
        <v>102.53838095999998</v>
      </c>
      <c r="N18" s="29">
        <f t="shared" si="25"/>
        <v>90.441156239999984</v>
      </c>
      <c r="O18" s="24">
        <f t="shared" si="25"/>
        <v>144.30260915999997</v>
      </c>
      <c r="P18" s="24">
        <f t="shared" si="25"/>
        <v>419.65848611999996</v>
      </c>
      <c r="Q18" s="42"/>
    </row>
    <row r="19" spans="1:17" ht="33.75" customHeight="1" x14ac:dyDescent="0.25">
      <c r="A19" s="23" t="s">
        <v>36</v>
      </c>
      <c r="B19" s="10"/>
      <c r="C19" s="10"/>
      <c r="D19" s="8"/>
      <c r="E19" s="22">
        <v>49.45</v>
      </c>
      <c r="F19" s="22">
        <v>3.77</v>
      </c>
      <c r="G19" s="22">
        <v>2.72</v>
      </c>
      <c r="H19" s="22">
        <v>1.2</v>
      </c>
      <c r="I19" s="22">
        <v>7.05</v>
      </c>
      <c r="J19" s="22">
        <v>5.8</v>
      </c>
      <c r="K19" s="22">
        <v>2.41</v>
      </c>
      <c r="L19" s="22">
        <v>1.3</v>
      </c>
      <c r="M19" s="22">
        <v>2.5299999999999998</v>
      </c>
      <c r="N19" s="22">
        <v>3.81</v>
      </c>
      <c r="O19" s="6">
        <v>5.9</v>
      </c>
      <c r="P19" s="6">
        <v>14.06</v>
      </c>
      <c r="Q19" s="41"/>
    </row>
    <row r="20" spans="1:17" ht="15.75" x14ac:dyDescent="0.25">
      <c r="A20" s="6"/>
      <c r="B20" s="19" t="s">
        <v>12</v>
      </c>
      <c r="C20" s="18">
        <v>670</v>
      </c>
      <c r="D20" s="8">
        <v>284.74954769999999</v>
      </c>
      <c r="E20" s="9">
        <f>D20*0.4945</f>
        <v>140.80865133764999</v>
      </c>
      <c r="F20" s="9">
        <f>D20*0.0377</f>
        <v>10.735057948289999</v>
      </c>
      <c r="G20" s="9">
        <f>D20*0.0272</f>
        <v>7.7451876974399996</v>
      </c>
      <c r="H20" s="9">
        <f>D20*0.012</f>
        <v>3.4169945724000002</v>
      </c>
      <c r="I20" s="9">
        <f>D20*0.0705</f>
        <v>20.074843112849997</v>
      </c>
      <c r="J20" s="9">
        <f>D20*0.058</f>
        <v>16.5154737666</v>
      </c>
      <c r="K20" s="9">
        <f>D20*0.0241</f>
        <v>6.8624640995699995</v>
      </c>
      <c r="L20" s="9">
        <f>D20*0.013</f>
        <v>3.7017441200999999</v>
      </c>
      <c r="M20" s="9">
        <f>D20*0.0253</f>
        <v>7.2041635568099993</v>
      </c>
      <c r="N20" s="9">
        <f>D20*0.0381</f>
        <v>10.848957767370001</v>
      </c>
      <c r="O20" s="10">
        <f>D20*0.059</f>
        <v>16.800223314299998</v>
      </c>
      <c r="P20" s="10">
        <f>D20*0.1406</f>
        <v>40.035786406619998</v>
      </c>
      <c r="Q20" s="41"/>
    </row>
    <row r="21" spans="1:17" ht="15.75" x14ac:dyDescent="0.25">
      <c r="A21" s="6"/>
      <c r="B21" s="19" t="s">
        <v>13</v>
      </c>
      <c r="C21" s="18">
        <v>880</v>
      </c>
      <c r="D21" s="8">
        <v>260.58940639999997</v>
      </c>
      <c r="E21" s="9">
        <f t="shared" ref="E21:E32" si="26">D21*0.4945</f>
        <v>128.86146146479999</v>
      </c>
      <c r="F21" s="9">
        <f t="shared" ref="F21:F32" si="27">D21*0.0377</f>
        <v>9.8242206212799985</v>
      </c>
      <c r="G21" s="9">
        <f t="shared" ref="G21:G32" si="28">D21*0.0272</f>
        <v>7.0880318540799987</v>
      </c>
      <c r="H21" s="9">
        <f t="shared" ref="H21:H32" si="29">D21*0.012</f>
        <v>3.1270728767999998</v>
      </c>
      <c r="I21" s="9">
        <f t="shared" ref="I21:I32" si="30">D21*0.0705</f>
        <v>18.371553151199997</v>
      </c>
      <c r="J21" s="9">
        <f t="shared" ref="J21:J32" si="31">D21*0.058</f>
        <v>15.114185571199998</v>
      </c>
      <c r="K21" s="9">
        <f t="shared" ref="K21:K32" si="32">D21*0.0241</f>
        <v>6.2802046942399992</v>
      </c>
      <c r="L21" s="9">
        <f t="shared" ref="L21:L32" si="33">D21*0.013</f>
        <v>3.3876622831999996</v>
      </c>
      <c r="M21" s="9">
        <f t="shared" ref="M21:M32" si="34">D21*0.0253</f>
        <v>6.5929119819199995</v>
      </c>
      <c r="N21" s="9">
        <f t="shared" ref="N21:N32" si="35">D21*0.0381</f>
        <v>9.9284563838399986</v>
      </c>
      <c r="O21" s="10">
        <f t="shared" ref="O21:O32" si="36">D21*0.059</f>
        <v>15.374774977599998</v>
      </c>
      <c r="P21" s="10">
        <f t="shared" ref="P21:P32" si="37">D21*0.1406</f>
        <v>36.638870539839999</v>
      </c>
      <c r="Q21" s="41"/>
    </row>
    <row r="22" spans="1:17" ht="15.75" x14ac:dyDescent="0.25">
      <c r="A22" s="6"/>
      <c r="B22" s="19" t="s">
        <v>14</v>
      </c>
      <c r="C22" s="18">
        <v>19584</v>
      </c>
      <c r="D22" s="8">
        <v>5123.2596469999999</v>
      </c>
      <c r="E22" s="9">
        <f t="shared" si="26"/>
        <v>2533.4518954414998</v>
      </c>
      <c r="F22" s="9">
        <f t="shared" si="27"/>
        <v>193.14688869189999</v>
      </c>
      <c r="G22" s="9">
        <f t="shared" si="28"/>
        <v>139.35266239839999</v>
      </c>
      <c r="H22" s="9">
        <f t="shared" si="29"/>
        <v>61.479115763999999</v>
      </c>
      <c r="I22" s="9">
        <f t="shared" si="30"/>
        <v>361.18980511349997</v>
      </c>
      <c r="J22" s="9">
        <f t="shared" si="31"/>
        <v>297.14905952600003</v>
      </c>
      <c r="K22" s="9">
        <f t="shared" si="32"/>
        <v>123.4705574927</v>
      </c>
      <c r="L22" s="9">
        <f t="shared" si="33"/>
        <v>66.602375410999997</v>
      </c>
      <c r="M22" s="9">
        <f t="shared" si="34"/>
        <v>129.6184690691</v>
      </c>
      <c r="N22" s="9">
        <f t="shared" si="35"/>
        <v>195.1961925507</v>
      </c>
      <c r="O22" s="10">
        <f t="shared" si="36"/>
        <v>302.27231917299997</v>
      </c>
      <c r="P22" s="10">
        <f t="shared" si="37"/>
        <v>720.33030636820001</v>
      </c>
      <c r="Q22" s="41"/>
    </row>
    <row r="23" spans="1:17" ht="15.75" x14ac:dyDescent="0.25">
      <c r="A23" s="6"/>
      <c r="B23" s="19" t="s">
        <v>15</v>
      </c>
      <c r="C23" s="18">
        <v>6265</v>
      </c>
      <c r="D23" s="8">
        <v>2243.5384840000002</v>
      </c>
      <c r="E23" s="9">
        <f t="shared" si="26"/>
        <v>1109.429780338</v>
      </c>
      <c r="F23" s="9">
        <f t="shared" si="27"/>
        <v>84.581400846799994</v>
      </c>
      <c r="G23" s="9">
        <f t="shared" si="28"/>
        <v>61.024246764799997</v>
      </c>
      <c r="H23" s="9">
        <f t="shared" si="29"/>
        <v>26.922461808000001</v>
      </c>
      <c r="I23" s="9">
        <f t="shared" si="30"/>
        <v>158.169463122</v>
      </c>
      <c r="J23" s="9">
        <f t="shared" si="31"/>
        <v>130.12523207200002</v>
      </c>
      <c r="K23" s="9">
        <f t="shared" si="32"/>
        <v>54.069277464400002</v>
      </c>
      <c r="L23" s="9">
        <f t="shared" si="33"/>
        <v>29.166000292</v>
      </c>
      <c r="M23" s="9">
        <f t="shared" si="34"/>
        <v>56.7615236452</v>
      </c>
      <c r="N23" s="9">
        <f t="shared" si="35"/>
        <v>85.478816240400008</v>
      </c>
      <c r="O23" s="10">
        <f t="shared" si="36"/>
        <v>132.36877055600002</v>
      </c>
      <c r="P23" s="10">
        <f t="shared" si="37"/>
        <v>315.44151085040005</v>
      </c>
      <c r="Q23" s="41"/>
    </row>
    <row r="24" spans="1:17" ht="15.75" x14ac:dyDescent="0.25">
      <c r="A24" s="6"/>
      <c r="B24" s="19" t="s">
        <v>16</v>
      </c>
      <c r="C24" s="18">
        <v>1598</v>
      </c>
      <c r="D24" s="8">
        <v>526.67358660000002</v>
      </c>
      <c r="E24" s="9">
        <f t="shared" si="26"/>
        <v>260.4400885737</v>
      </c>
      <c r="F24" s="9">
        <f t="shared" si="27"/>
        <v>19.855594214819998</v>
      </c>
      <c r="G24" s="9">
        <f t="shared" si="28"/>
        <v>14.32552155552</v>
      </c>
      <c r="H24" s="9">
        <f t="shared" si="29"/>
        <v>6.3200830392</v>
      </c>
      <c r="I24" s="9">
        <f t="shared" si="30"/>
        <v>37.130487855299997</v>
      </c>
      <c r="J24" s="9">
        <f t="shared" si="31"/>
        <v>30.547068022800001</v>
      </c>
      <c r="K24" s="9">
        <f t="shared" si="32"/>
        <v>12.692833437060001</v>
      </c>
      <c r="L24" s="9">
        <f t="shared" si="33"/>
        <v>6.8467566258000003</v>
      </c>
      <c r="M24" s="9">
        <f t="shared" si="34"/>
        <v>13.32484174098</v>
      </c>
      <c r="N24" s="9">
        <f t="shared" si="35"/>
        <v>20.066263649460002</v>
      </c>
      <c r="O24" s="10">
        <f t="shared" si="36"/>
        <v>31.073741609399999</v>
      </c>
      <c r="P24" s="10">
        <f t="shared" si="37"/>
        <v>74.050306275960011</v>
      </c>
      <c r="Q24" s="41"/>
    </row>
    <row r="25" spans="1:17" ht="15.75" x14ac:dyDescent="0.25">
      <c r="A25" s="6"/>
      <c r="B25" s="19" t="s">
        <v>17</v>
      </c>
      <c r="C25" s="18">
        <v>6381</v>
      </c>
      <c r="D25" s="8">
        <v>2283.9982380000001</v>
      </c>
      <c r="E25" s="9">
        <f t="shared" si="26"/>
        <v>1129.437128691</v>
      </c>
      <c r="F25" s="9">
        <f t="shared" si="27"/>
        <v>86.106733572599992</v>
      </c>
      <c r="G25" s="9">
        <f t="shared" si="28"/>
        <v>62.1247520736</v>
      </c>
      <c r="H25" s="9">
        <f t="shared" si="29"/>
        <v>27.407978856000003</v>
      </c>
      <c r="I25" s="9">
        <f t="shared" si="30"/>
        <v>161.021875779</v>
      </c>
      <c r="J25" s="9">
        <f t="shared" si="31"/>
        <v>132.47189780400001</v>
      </c>
      <c r="K25" s="9">
        <f t="shared" si="32"/>
        <v>55.044357535800003</v>
      </c>
      <c r="L25" s="9">
        <f t="shared" si="33"/>
        <v>29.691977094000002</v>
      </c>
      <c r="M25" s="9">
        <f t="shared" si="34"/>
        <v>57.785155421399999</v>
      </c>
      <c r="N25" s="9">
        <f t="shared" si="35"/>
        <v>87.020332867800008</v>
      </c>
      <c r="O25" s="10">
        <f t="shared" si="36"/>
        <v>134.75589604199999</v>
      </c>
      <c r="P25" s="10">
        <f t="shared" si="37"/>
        <v>321.13015226280004</v>
      </c>
      <c r="Q25" s="41"/>
    </row>
    <row r="26" spans="1:17" ht="15.75" x14ac:dyDescent="0.25">
      <c r="A26" s="6"/>
      <c r="B26" s="19" t="s">
        <v>18</v>
      </c>
      <c r="C26" s="18">
        <v>6676</v>
      </c>
      <c r="D26" s="8">
        <v>2932.8463160000001</v>
      </c>
      <c r="E26" s="9">
        <f t="shared" si="26"/>
        <v>1450.2925032620001</v>
      </c>
      <c r="F26" s="9">
        <f t="shared" si="27"/>
        <v>110.56830611319999</v>
      </c>
      <c r="G26" s="9">
        <f t="shared" si="28"/>
        <v>79.773419795199999</v>
      </c>
      <c r="H26" s="9">
        <f t="shared" si="29"/>
        <v>35.194155792000004</v>
      </c>
      <c r="I26" s="9">
        <f t="shared" si="30"/>
        <v>206.765665278</v>
      </c>
      <c r="J26" s="9">
        <f t="shared" si="31"/>
        <v>170.10508632800003</v>
      </c>
      <c r="K26" s="9">
        <f t="shared" si="32"/>
        <v>70.681596215599996</v>
      </c>
      <c r="L26" s="9">
        <f t="shared" si="33"/>
        <v>38.127002107999999</v>
      </c>
      <c r="M26" s="9">
        <f t="shared" si="34"/>
        <v>74.201011794799996</v>
      </c>
      <c r="N26" s="9">
        <f t="shared" si="35"/>
        <v>111.7414446396</v>
      </c>
      <c r="O26" s="10">
        <f t="shared" si="36"/>
        <v>173.03793264399999</v>
      </c>
      <c r="P26" s="10">
        <f t="shared" si="37"/>
        <v>412.35819202960005</v>
      </c>
      <c r="Q26" s="41"/>
    </row>
    <row r="27" spans="1:17" ht="31.5" x14ac:dyDescent="0.25">
      <c r="A27" s="6"/>
      <c r="B27" s="19" t="s">
        <v>19</v>
      </c>
      <c r="C27" s="21">
        <v>12312</v>
      </c>
      <c r="D27" s="8"/>
      <c r="E27" s="9">
        <f t="shared" si="26"/>
        <v>0</v>
      </c>
      <c r="F27" s="9">
        <f t="shared" si="27"/>
        <v>0</v>
      </c>
      <c r="G27" s="9">
        <f t="shared" si="28"/>
        <v>0</v>
      </c>
      <c r="H27" s="9">
        <f t="shared" si="29"/>
        <v>0</v>
      </c>
      <c r="I27" s="9">
        <f t="shared" si="30"/>
        <v>0</v>
      </c>
      <c r="J27" s="9">
        <f t="shared" si="31"/>
        <v>0</v>
      </c>
      <c r="K27" s="9">
        <f t="shared" si="32"/>
        <v>0</v>
      </c>
      <c r="L27" s="9">
        <f t="shared" si="33"/>
        <v>0</v>
      </c>
      <c r="M27" s="9">
        <f t="shared" si="34"/>
        <v>0</v>
      </c>
      <c r="N27" s="9">
        <f t="shared" si="35"/>
        <v>0</v>
      </c>
      <c r="O27" s="10">
        <f t="shared" si="36"/>
        <v>0</v>
      </c>
      <c r="P27" s="10">
        <f t="shared" si="37"/>
        <v>0</v>
      </c>
      <c r="Q27" s="41"/>
    </row>
    <row r="28" spans="1:17" ht="15.75" x14ac:dyDescent="0.25">
      <c r="A28" s="6"/>
      <c r="B28" s="19" t="s">
        <v>20</v>
      </c>
      <c r="C28" s="18">
        <v>2655</v>
      </c>
      <c r="D28" s="8">
        <v>976.95766079999999</v>
      </c>
      <c r="E28" s="9">
        <f t="shared" si="26"/>
        <v>483.10556326559998</v>
      </c>
      <c r="F28" s="9">
        <f t="shared" si="27"/>
        <v>36.831303812159994</v>
      </c>
      <c r="G28" s="9">
        <f t="shared" si="28"/>
        <v>26.573248373759998</v>
      </c>
      <c r="H28" s="9">
        <f t="shared" si="29"/>
        <v>11.7234919296</v>
      </c>
      <c r="I28" s="9">
        <f t="shared" si="30"/>
        <v>68.875515086399986</v>
      </c>
      <c r="J28" s="9">
        <f t="shared" si="31"/>
        <v>56.6635443264</v>
      </c>
      <c r="K28" s="9">
        <f t="shared" si="32"/>
        <v>23.544679625280001</v>
      </c>
      <c r="L28" s="9">
        <f t="shared" si="33"/>
        <v>12.7004495904</v>
      </c>
      <c r="M28" s="9">
        <f t="shared" si="34"/>
        <v>24.717028818239999</v>
      </c>
      <c r="N28" s="9">
        <f t="shared" si="35"/>
        <v>37.222086876479999</v>
      </c>
      <c r="O28" s="10">
        <f t="shared" si="36"/>
        <v>57.640501987199997</v>
      </c>
      <c r="P28" s="10">
        <f t="shared" si="37"/>
        <v>137.36024710848</v>
      </c>
      <c r="Q28" s="41"/>
    </row>
    <row r="29" spans="1:17" ht="15.75" x14ac:dyDescent="0.25">
      <c r="A29" s="6"/>
      <c r="B29" s="19" t="s">
        <v>21</v>
      </c>
      <c r="C29" s="18">
        <v>3089</v>
      </c>
      <c r="D29" s="8">
        <v>1055.4299510000001</v>
      </c>
      <c r="E29" s="9">
        <f t="shared" si="26"/>
        <v>521.91011076950008</v>
      </c>
      <c r="F29" s="9">
        <f t="shared" si="27"/>
        <v>39.789709152699999</v>
      </c>
      <c r="G29" s="9">
        <f t="shared" si="28"/>
        <v>28.707694667200002</v>
      </c>
      <c r="H29" s="9">
        <f t="shared" si="29"/>
        <v>12.665159412000001</v>
      </c>
      <c r="I29" s="9">
        <f t="shared" si="30"/>
        <v>74.407811545499996</v>
      </c>
      <c r="J29" s="9">
        <f t="shared" si="31"/>
        <v>61.214937158000005</v>
      </c>
      <c r="K29" s="9">
        <f t="shared" si="32"/>
        <v>25.435861819100001</v>
      </c>
      <c r="L29" s="9">
        <f t="shared" si="33"/>
        <v>13.720589363</v>
      </c>
      <c r="M29" s="9">
        <f t="shared" si="34"/>
        <v>26.702377760300003</v>
      </c>
      <c r="N29" s="9">
        <f t="shared" si="35"/>
        <v>40.211881133100007</v>
      </c>
      <c r="O29" s="10">
        <f t="shared" si="36"/>
        <v>62.270367108999999</v>
      </c>
      <c r="P29" s="10">
        <f t="shared" si="37"/>
        <v>148.39345111060001</v>
      </c>
      <c r="Q29" s="41"/>
    </row>
    <row r="30" spans="1:17" ht="15.75" x14ac:dyDescent="0.25">
      <c r="A30" s="6"/>
      <c r="B30" s="19" t="s">
        <v>22</v>
      </c>
      <c r="C30" s="18">
        <v>2586</v>
      </c>
      <c r="D30" s="8">
        <v>936.72869839999998</v>
      </c>
      <c r="E30" s="9">
        <f t="shared" si="26"/>
        <v>463.21234135879996</v>
      </c>
      <c r="F30" s="9">
        <f t="shared" si="27"/>
        <v>35.314671929679996</v>
      </c>
      <c r="G30" s="9">
        <f t="shared" si="28"/>
        <v>25.479020596479998</v>
      </c>
      <c r="H30" s="9">
        <f t="shared" si="29"/>
        <v>11.240744380800001</v>
      </c>
      <c r="I30" s="9">
        <f t="shared" si="30"/>
        <v>66.039373237199996</v>
      </c>
      <c r="J30" s="9">
        <f t="shared" si="31"/>
        <v>54.330264507199999</v>
      </c>
      <c r="K30" s="9">
        <f t="shared" si="32"/>
        <v>22.57516163144</v>
      </c>
      <c r="L30" s="9">
        <f t="shared" si="33"/>
        <v>12.177473079199999</v>
      </c>
      <c r="M30" s="9">
        <f t="shared" si="34"/>
        <v>23.699236069519998</v>
      </c>
      <c r="N30" s="9">
        <f t="shared" si="35"/>
        <v>35.689363409039998</v>
      </c>
      <c r="O30" s="10">
        <f t="shared" si="36"/>
        <v>55.266993205599995</v>
      </c>
      <c r="P30" s="10">
        <f t="shared" si="37"/>
        <v>131.70405499504</v>
      </c>
      <c r="Q30" s="41"/>
    </row>
    <row r="31" spans="1:17" ht="15.75" x14ac:dyDescent="0.25">
      <c r="A31" s="6"/>
      <c r="B31" s="19" t="s">
        <v>23</v>
      </c>
      <c r="C31" s="18">
        <v>1253</v>
      </c>
      <c r="D31" s="8">
        <v>521.32527440000001</v>
      </c>
      <c r="E31" s="9">
        <f t="shared" si="26"/>
        <v>257.79534819079998</v>
      </c>
      <c r="F31" s="9">
        <f t="shared" si="27"/>
        <v>19.653962844879999</v>
      </c>
      <c r="G31" s="9">
        <f t="shared" si="28"/>
        <v>14.180047463679999</v>
      </c>
      <c r="H31" s="9">
        <f t="shared" si="29"/>
        <v>6.2559032928000002</v>
      </c>
      <c r="I31" s="9">
        <f t="shared" si="30"/>
        <v>36.753431845199998</v>
      </c>
      <c r="J31" s="9">
        <f t="shared" si="31"/>
        <v>30.236865915200003</v>
      </c>
      <c r="K31" s="9">
        <f t="shared" si="32"/>
        <v>12.56393911304</v>
      </c>
      <c r="L31" s="9">
        <f t="shared" si="33"/>
        <v>6.7772285671999999</v>
      </c>
      <c r="M31" s="9">
        <f t="shared" si="34"/>
        <v>13.18952944232</v>
      </c>
      <c r="N31" s="9">
        <f t="shared" si="35"/>
        <v>19.86249295464</v>
      </c>
      <c r="O31" s="10">
        <f t="shared" si="36"/>
        <v>30.758191189599998</v>
      </c>
      <c r="P31" s="10">
        <f t="shared" si="37"/>
        <v>73.298333580640005</v>
      </c>
      <c r="Q31" s="41"/>
    </row>
    <row r="32" spans="1:17" ht="15.75" x14ac:dyDescent="0.25">
      <c r="A32" s="6"/>
      <c r="B32" s="19" t="s">
        <v>24</v>
      </c>
      <c r="C32" s="18">
        <v>2729</v>
      </c>
      <c r="D32" s="8">
        <v>909.08441359999995</v>
      </c>
      <c r="E32" s="9">
        <f t="shared" si="26"/>
        <v>449.54224252519998</v>
      </c>
      <c r="F32" s="9">
        <f t="shared" si="27"/>
        <v>34.272482392719994</v>
      </c>
      <c r="G32" s="9">
        <f t="shared" si="28"/>
        <v>24.727096049919997</v>
      </c>
      <c r="H32" s="9">
        <f t="shared" si="29"/>
        <v>10.9090129632</v>
      </c>
      <c r="I32" s="9">
        <f t="shared" si="30"/>
        <v>64.090451158799993</v>
      </c>
      <c r="J32" s="9">
        <f t="shared" si="31"/>
        <v>52.726895988800003</v>
      </c>
      <c r="K32" s="9">
        <f t="shared" si="32"/>
        <v>21.908934367759997</v>
      </c>
      <c r="L32" s="9">
        <f t="shared" si="33"/>
        <v>11.818097376799999</v>
      </c>
      <c r="M32" s="9">
        <f t="shared" si="34"/>
        <v>22.999835664079999</v>
      </c>
      <c r="N32" s="9">
        <f t="shared" si="35"/>
        <v>34.63611615816</v>
      </c>
      <c r="O32" s="10">
        <f t="shared" si="36"/>
        <v>53.635980402399994</v>
      </c>
      <c r="P32" s="10">
        <f t="shared" si="37"/>
        <v>127.81726855216</v>
      </c>
      <c r="Q32" s="41"/>
    </row>
    <row r="33" spans="1:17" s="30" customFormat="1" ht="15.75" x14ac:dyDescent="0.25">
      <c r="A33" s="11" t="s">
        <v>7</v>
      </c>
      <c r="B33" s="25"/>
      <c r="C33" s="26"/>
      <c r="D33" s="12">
        <f t="shared" ref="D33:P33" si="38">SUM(D20:D32)</f>
        <v>18055.181223899999</v>
      </c>
      <c r="E33" s="29">
        <f t="shared" si="38"/>
        <v>8928.2871152185489</v>
      </c>
      <c r="F33" s="29">
        <f t="shared" si="38"/>
        <v>680.68033214102979</v>
      </c>
      <c r="G33" s="29">
        <f t="shared" si="38"/>
        <v>491.10092929007999</v>
      </c>
      <c r="H33" s="29">
        <f t="shared" si="38"/>
        <v>216.66217468680003</v>
      </c>
      <c r="I33" s="29">
        <f t="shared" si="38"/>
        <v>1272.8902762849498</v>
      </c>
      <c r="J33" s="29">
        <f t="shared" si="38"/>
        <v>1047.2005109862002</v>
      </c>
      <c r="K33" s="29">
        <f t="shared" si="38"/>
        <v>435.12986749598997</v>
      </c>
      <c r="L33" s="29">
        <f t="shared" si="38"/>
        <v>234.71735591070001</v>
      </c>
      <c r="M33" s="29">
        <f t="shared" si="38"/>
        <v>456.79608496467006</v>
      </c>
      <c r="N33" s="29">
        <f t="shared" si="38"/>
        <v>687.90240463059001</v>
      </c>
      <c r="O33" s="24">
        <f t="shared" si="38"/>
        <v>1065.2556922100998</v>
      </c>
      <c r="P33" s="24">
        <f t="shared" si="38"/>
        <v>2538.5584800803399</v>
      </c>
      <c r="Q33" s="42"/>
    </row>
    <row r="34" spans="1:17" ht="33.75" customHeight="1" x14ac:dyDescent="0.25">
      <c r="A34" s="23" t="s">
        <v>37</v>
      </c>
      <c r="B34" s="19"/>
      <c r="C34" s="18"/>
      <c r="D34" s="8"/>
      <c r="E34" s="22">
        <v>52.99</v>
      </c>
      <c r="F34" s="22">
        <v>3.78</v>
      </c>
      <c r="G34" s="22">
        <v>3.03</v>
      </c>
      <c r="H34" s="22">
        <v>1.07</v>
      </c>
      <c r="I34" s="22">
        <v>5.67</v>
      </c>
      <c r="J34" s="22">
        <v>5.74</v>
      </c>
      <c r="K34" s="22">
        <v>2.5099999999999998</v>
      </c>
      <c r="L34" s="22">
        <v>1.67</v>
      </c>
      <c r="M34" s="22">
        <v>2.4500000000000002</v>
      </c>
      <c r="N34" s="22">
        <v>3.92</v>
      </c>
      <c r="O34" s="6">
        <v>7.37</v>
      </c>
      <c r="P34" s="6">
        <v>9.8000000000000007</v>
      </c>
      <c r="Q34" s="41"/>
    </row>
    <row r="35" spans="1:17" ht="15.75" x14ac:dyDescent="0.25">
      <c r="A35" s="5"/>
      <c r="B35" s="19" t="s">
        <v>12</v>
      </c>
      <c r="C35" s="18">
        <v>12</v>
      </c>
      <c r="D35" s="8">
        <v>3.4744320000000002</v>
      </c>
      <c r="E35" s="9">
        <f>D35*0.5299</f>
        <v>1.8411015168000002</v>
      </c>
      <c r="F35" s="9">
        <f>D35*0.0378</f>
        <v>0.1313335296</v>
      </c>
      <c r="G35" s="9">
        <f>D35*0.0303</f>
        <v>0.1052752896</v>
      </c>
      <c r="H35" s="9">
        <f>D35*0.0107</f>
        <v>3.7176422399999999E-2</v>
      </c>
      <c r="I35" s="9">
        <f>D35*0.0567</f>
        <v>0.19700029440000003</v>
      </c>
      <c r="J35" s="9">
        <f>D35*0.0574</f>
        <v>0.19943239680000002</v>
      </c>
      <c r="K35" s="9">
        <f>D35*0.0251</f>
        <v>8.7208243200000007E-2</v>
      </c>
      <c r="L35" s="9">
        <f>D35*0.0167</f>
        <v>5.8023014400000003E-2</v>
      </c>
      <c r="M35" s="9">
        <f>D35*0.0245</f>
        <v>8.5123584000000002E-2</v>
      </c>
      <c r="N35" s="9">
        <f>D35*0.0392</f>
        <v>0.13619773439999999</v>
      </c>
      <c r="O35" s="10">
        <f>D35*0.0737</f>
        <v>0.25606563840000002</v>
      </c>
      <c r="P35" s="10">
        <f>D35*0.098</f>
        <v>0.34049433600000001</v>
      </c>
      <c r="Q35" s="41"/>
    </row>
    <row r="36" spans="1:17" ht="15.75" x14ac:dyDescent="0.25">
      <c r="A36" s="5"/>
      <c r="B36" s="19" t="s">
        <v>13</v>
      </c>
      <c r="C36" s="18">
        <v>1477</v>
      </c>
      <c r="D36" s="8">
        <v>427.64467200000001</v>
      </c>
      <c r="E36" s="9">
        <f t="shared" ref="E36:E47" si="39">D36*0.5299</f>
        <v>226.60891169280004</v>
      </c>
      <c r="F36" s="9">
        <f t="shared" ref="F36:F47" si="40">D36*0.0378</f>
        <v>16.164968601600002</v>
      </c>
      <c r="G36" s="9">
        <f t="shared" ref="G36:G47" si="41">D36*0.0303</f>
        <v>12.9576335616</v>
      </c>
      <c r="H36" s="9">
        <f t="shared" ref="H36:H47" si="42">D36*0.0107</f>
        <v>4.5757979903999999</v>
      </c>
      <c r="I36" s="9">
        <f t="shared" ref="I36:I47" si="43">D36*0.0567</f>
        <v>24.247452902400003</v>
      </c>
      <c r="J36" s="9">
        <f t="shared" ref="J36:J47" si="44">D36*0.0574</f>
        <v>24.546804172800002</v>
      </c>
      <c r="K36" s="9">
        <f t="shared" ref="K36:K47" si="45">D36*0.0251</f>
        <v>10.733881267200001</v>
      </c>
      <c r="L36" s="9">
        <f t="shared" ref="L36:L47" si="46">D36*0.0167</f>
        <v>7.1416660223999999</v>
      </c>
      <c r="M36" s="9">
        <f t="shared" ref="M36:M47" si="47">D36*0.0245</f>
        <v>10.477294464</v>
      </c>
      <c r="N36" s="9">
        <f t="shared" ref="N36:N47" si="48">D36*0.0392</f>
        <v>16.7636711424</v>
      </c>
      <c r="O36" s="10">
        <f t="shared" ref="O36:O47" si="49">D36*0.0737</f>
        <v>31.517412326400002</v>
      </c>
      <c r="P36" s="10">
        <f t="shared" ref="P36:P47" si="50">D36*0.098</f>
        <v>41.909177855999999</v>
      </c>
      <c r="Q36" s="41"/>
    </row>
    <row r="37" spans="1:17" ht="15.75" x14ac:dyDescent="0.25">
      <c r="A37" s="5"/>
      <c r="B37" s="19" t="s">
        <v>14</v>
      </c>
      <c r="C37" s="18">
        <v>4888</v>
      </c>
      <c r="D37" s="8">
        <v>1415.251968</v>
      </c>
      <c r="E37" s="9">
        <f t="shared" si="39"/>
        <v>749.94201784320012</v>
      </c>
      <c r="F37" s="9">
        <f t="shared" si="40"/>
        <v>53.496524390400005</v>
      </c>
      <c r="G37" s="9">
        <f t="shared" si="41"/>
        <v>42.882134630400003</v>
      </c>
      <c r="H37" s="9">
        <f t="shared" si="42"/>
        <v>15.143196057599999</v>
      </c>
      <c r="I37" s="9">
        <f t="shared" si="43"/>
        <v>80.244786585599996</v>
      </c>
      <c r="J37" s="9">
        <f t="shared" si="44"/>
        <v>81.235462963200007</v>
      </c>
      <c r="K37" s="9">
        <f t="shared" si="45"/>
        <v>35.522824396800004</v>
      </c>
      <c r="L37" s="9">
        <f t="shared" si="46"/>
        <v>23.634707865599999</v>
      </c>
      <c r="M37" s="9">
        <f t="shared" si="47"/>
        <v>34.673673216000005</v>
      </c>
      <c r="N37" s="9">
        <f t="shared" si="48"/>
        <v>55.477877145599997</v>
      </c>
      <c r="O37" s="10">
        <f t="shared" si="49"/>
        <v>104.3040700416</v>
      </c>
      <c r="P37" s="10">
        <f t="shared" si="50"/>
        <v>138.69469286400002</v>
      </c>
      <c r="Q37" s="41"/>
    </row>
    <row r="38" spans="1:17" ht="15.75" x14ac:dyDescent="0.25">
      <c r="A38" s="5"/>
      <c r="B38" s="19" t="s">
        <v>15</v>
      </c>
      <c r="C38" s="18">
        <v>2900</v>
      </c>
      <c r="D38" s="8">
        <v>839.65440000000001</v>
      </c>
      <c r="E38" s="9">
        <f t="shared" si="39"/>
        <v>444.93286656000004</v>
      </c>
      <c r="F38" s="9">
        <f t="shared" si="40"/>
        <v>31.738936320000001</v>
      </c>
      <c r="G38" s="9">
        <f t="shared" si="41"/>
        <v>25.44152832</v>
      </c>
      <c r="H38" s="9">
        <f t="shared" si="42"/>
        <v>8.9843020799999991</v>
      </c>
      <c r="I38" s="9">
        <f t="shared" si="43"/>
        <v>47.608404480000004</v>
      </c>
      <c r="J38" s="9">
        <f t="shared" si="44"/>
        <v>48.196162559999998</v>
      </c>
      <c r="K38" s="9">
        <f t="shared" si="45"/>
        <v>21.07532544</v>
      </c>
      <c r="L38" s="9">
        <f t="shared" si="46"/>
        <v>14.022228479999999</v>
      </c>
      <c r="M38" s="9">
        <f t="shared" si="47"/>
        <v>20.5715328</v>
      </c>
      <c r="N38" s="9">
        <f t="shared" si="48"/>
        <v>32.914452480000001</v>
      </c>
      <c r="O38" s="10">
        <f t="shared" si="49"/>
        <v>61.88252928</v>
      </c>
      <c r="P38" s="10">
        <f t="shared" si="50"/>
        <v>82.2861312</v>
      </c>
      <c r="Q38" s="41"/>
    </row>
    <row r="39" spans="1:17" ht="15.75" x14ac:dyDescent="0.25">
      <c r="A39" s="5"/>
      <c r="B39" s="19" t="s">
        <v>16</v>
      </c>
      <c r="C39" s="18">
        <v>886</v>
      </c>
      <c r="D39" s="8">
        <v>256.52889599999997</v>
      </c>
      <c r="E39" s="9">
        <f t="shared" si="39"/>
        <v>135.9346619904</v>
      </c>
      <c r="F39" s="9">
        <f t="shared" si="40"/>
        <v>9.6967922687999994</v>
      </c>
      <c r="G39" s="9">
        <f t="shared" si="41"/>
        <v>7.7728255487999993</v>
      </c>
      <c r="H39" s="9">
        <f t="shared" si="42"/>
        <v>2.7448591871999994</v>
      </c>
      <c r="I39" s="9">
        <f t="shared" si="43"/>
        <v>14.545188403199999</v>
      </c>
      <c r="J39" s="9">
        <f t="shared" si="44"/>
        <v>14.724758630399998</v>
      </c>
      <c r="K39" s="9">
        <f t="shared" si="45"/>
        <v>6.4388752895999994</v>
      </c>
      <c r="L39" s="9">
        <f t="shared" si="46"/>
        <v>4.2840325631999994</v>
      </c>
      <c r="M39" s="9">
        <f t="shared" si="47"/>
        <v>6.2849579519999992</v>
      </c>
      <c r="N39" s="9">
        <f t="shared" si="48"/>
        <v>10.055932723199998</v>
      </c>
      <c r="O39" s="10">
        <f t="shared" si="49"/>
        <v>18.906179635199997</v>
      </c>
      <c r="P39" s="10">
        <f t="shared" si="50"/>
        <v>25.139831807999997</v>
      </c>
      <c r="Q39" s="41"/>
    </row>
    <row r="40" spans="1:17" ht="15.75" x14ac:dyDescent="0.25">
      <c r="A40" s="5"/>
      <c r="B40" s="19" t="s">
        <v>17</v>
      </c>
      <c r="C40" s="18">
        <v>879</v>
      </c>
      <c r="D40" s="8">
        <v>258.110208</v>
      </c>
      <c r="E40" s="9">
        <f t="shared" si="39"/>
        <v>136.7725992192</v>
      </c>
      <c r="F40" s="9">
        <f t="shared" si="40"/>
        <v>9.7565658624000005</v>
      </c>
      <c r="G40" s="9">
        <f t="shared" si="41"/>
        <v>7.8207393023999998</v>
      </c>
      <c r="H40" s="9">
        <f t="shared" si="42"/>
        <v>2.7617792255999998</v>
      </c>
      <c r="I40" s="9">
        <f t="shared" si="43"/>
        <v>14.6348487936</v>
      </c>
      <c r="J40" s="9">
        <f t="shared" si="44"/>
        <v>14.8155259392</v>
      </c>
      <c r="K40" s="9">
        <f t="shared" si="45"/>
        <v>6.4785662208000003</v>
      </c>
      <c r="L40" s="9">
        <f t="shared" si="46"/>
        <v>4.3104404735999999</v>
      </c>
      <c r="M40" s="9">
        <f t="shared" si="47"/>
        <v>6.3237000960000005</v>
      </c>
      <c r="N40" s="9">
        <f t="shared" si="48"/>
        <v>10.1179201536</v>
      </c>
      <c r="O40" s="10">
        <f t="shared" si="49"/>
        <v>19.022722329600001</v>
      </c>
      <c r="P40" s="10">
        <f t="shared" si="50"/>
        <v>25.294800384000002</v>
      </c>
      <c r="Q40" s="41"/>
    </row>
    <row r="41" spans="1:17" ht="15.75" x14ac:dyDescent="0.25">
      <c r="A41" s="5"/>
      <c r="B41" s="19" t="s">
        <v>18</v>
      </c>
      <c r="C41" s="18">
        <v>1888</v>
      </c>
      <c r="D41" s="8">
        <v>546.64396799999997</v>
      </c>
      <c r="E41" s="9">
        <f t="shared" si="39"/>
        <v>289.66663864320003</v>
      </c>
      <c r="F41" s="9">
        <f t="shared" si="40"/>
        <v>20.6631419904</v>
      </c>
      <c r="G41" s="9">
        <f t="shared" si="41"/>
        <v>16.563312230400001</v>
      </c>
      <c r="H41" s="9">
        <f t="shared" si="42"/>
        <v>5.8490904575999991</v>
      </c>
      <c r="I41" s="9">
        <f t="shared" si="43"/>
        <v>30.9947129856</v>
      </c>
      <c r="J41" s="9">
        <f t="shared" si="44"/>
        <v>31.377363763199998</v>
      </c>
      <c r="K41" s="9">
        <f t="shared" si="45"/>
        <v>13.720763596799999</v>
      </c>
      <c r="L41" s="9">
        <f t="shared" si="46"/>
        <v>9.1289542655999991</v>
      </c>
      <c r="M41" s="9">
        <f t="shared" si="47"/>
        <v>13.392777216000001</v>
      </c>
      <c r="N41" s="9">
        <f t="shared" si="48"/>
        <v>21.428443545599997</v>
      </c>
      <c r="O41" s="10">
        <f t="shared" si="49"/>
        <v>40.287660441599996</v>
      </c>
      <c r="P41" s="10">
        <f t="shared" si="50"/>
        <v>53.571108864000003</v>
      </c>
      <c r="Q41" s="41"/>
    </row>
    <row r="42" spans="1:17" ht="31.5" x14ac:dyDescent="0.25">
      <c r="A42" s="5"/>
      <c r="B42" s="19" t="s">
        <v>19</v>
      </c>
      <c r="C42" s="18">
        <v>2892</v>
      </c>
      <c r="E42" s="9">
        <f t="shared" si="39"/>
        <v>0</v>
      </c>
      <c r="F42" s="9">
        <f t="shared" si="40"/>
        <v>0</v>
      </c>
      <c r="G42" s="9">
        <f t="shared" si="41"/>
        <v>0</v>
      </c>
      <c r="H42" s="9">
        <f t="shared" si="42"/>
        <v>0</v>
      </c>
      <c r="I42" s="9">
        <f t="shared" si="43"/>
        <v>0</v>
      </c>
      <c r="J42" s="9">
        <f t="shared" si="44"/>
        <v>0</v>
      </c>
      <c r="K42" s="9">
        <f t="shared" si="45"/>
        <v>0</v>
      </c>
      <c r="L42" s="9">
        <f t="shared" si="46"/>
        <v>0</v>
      </c>
      <c r="M42" s="9">
        <f t="shared" si="47"/>
        <v>0</v>
      </c>
      <c r="N42" s="9">
        <f t="shared" si="48"/>
        <v>0</v>
      </c>
      <c r="O42" s="10">
        <f t="shared" si="49"/>
        <v>0</v>
      </c>
      <c r="P42" s="10">
        <f t="shared" si="50"/>
        <v>0</v>
      </c>
      <c r="Q42" s="41"/>
    </row>
    <row r="43" spans="1:17" ht="15.75" x14ac:dyDescent="0.25">
      <c r="A43" s="5"/>
      <c r="B43" s="19" t="s">
        <v>20</v>
      </c>
      <c r="C43" s="18">
        <v>148</v>
      </c>
      <c r="D43" s="8">
        <v>47.795712000000002</v>
      </c>
      <c r="E43" s="9">
        <f t="shared" si="39"/>
        <v>25.326947788800002</v>
      </c>
      <c r="F43" s="9">
        <f t="shared" si="40"/>
        <v>1.8066779136000002</v>
      </c>
      <c r="G43" s="9">
        <f t="shared" si="41"/>
        <v>1.4482100736000001</v>
      </c>
      <c r="H43" s="9">
        <f t="shared" si="42"/>
        <v>0.51141411839999995</v>
      </c>
      <c r="I43" s="9">
        <f t="shared" si="43"/>
        <v>2.7100168704000001</v>
      </c>
      <c r="J43" s="9">
        <f t="shared" si="44"/>
        <v>2.7434738688000002</v>
      </c>
      <c r="K43" s="9">
        <f t="shared" si="45"/>
        <v>1.1996723712000001</v>
      </c>
      <c r="L43" s="9">
        <f t="shared" si="46"/>
        <v>0.7981883904</v>
      </c>
      <c r="M43" s="9">
        <f t="shared" si="47"/>
        <v>1.170994944</v>
      </c>
      <c r="N43" s="9">
        <f t="shared" si="48"/>
        <v>1.8735919104000001</v>
      </c>
      <c r="O43" s="10">
        <f t="shared" si="49"/>
        <v>3.5225439744</v>
      </c>
      <c r="P43" s="10">
        <f t="shared" si="50"/>
        <v>4.6839797760000002</v>
      </c>
      <c r="Q43" s="41"/>
    </row>
    <row r="44" spans="1:17" ht="15.75" x14ac:dyDescent="0.25">
      <c r="A44" s="5"/>
      <c r="B44" s="19" t="s">
        <v>21</v>
      </c>
      <c r="C44" s="18">
        <v>452</v>
      </c>
      <c r="D44" s="8">
        <v>136.34918400000001</v>
      </c>
      <c r="E44" s="9">
        <f t="shared" si="39"/>
        <v>72.251432601600015</v>
      </c>
      <c r="F44" s="9">
        <f t="shared" si="40"/>
        <v>5.1539991552000002</v>
      </c>
      <c r="G44" s="9">
        <f t="shared" si="41"/>
        <v>4.1313802752000006</v>
      </c>
      <c r="H44" s="9">
        <f t="shared" si="42"/>
        <v>1.4589362688</v>
      </c>
      <c r="I44" s="9">
        <f t="shared" si="43"/>
        <v>7.7309987328000007</v>
      </c>
      <c r="J44" s="9">
        <f t="shared" si="44"/>
        <v>7.8264431616000003</v>
      </c>
      <c r="K44" s="9">
        <f t="shared" si="45"/>
        <v>3.4223645184000002</v>
      </c>
      <c r="L44" s="9">
        <f t="shared" si="46"/>
        <v>2.2770313728000002</v>
      </c>
      <c r="M44" s="9">
        <f t="shared" si="47"/>
        <v>3.3405550080000004</v>
      </c>
      <c r="N44" s="9">
        <f t="shared" si="48"/>
        <v>5.3448880128000003</v>
      </c>
      <c r="O44" s="10">
        <f t="shared" si="49"/>
        <v>10.048934860800001</v>
      </c>
      <c r="P44" s="10">
        <f t="shared" si="50"/>
        <v>13.362220032000002</v>
      </c>
      <c r="Q44" s="41"/>
    </row>
    <row r="45" spans="1:17" ht="15.75" x14ac:dyDescent="0.25">
      <c r="A45" s="5"/>
      <c r="B45" s="19" t="s">
        <v>22</v>
      </c>
      <c r="C45" s="18">
        <v>984</v>
      </c>
      <c r="D45" s="8">
        <v>284.90342399999997</v>
      </c>
      <c r="E45" s="9">
        <f t="shared" si="39"/>
        <v>150.97032437760001</v>
      </c>
      <c r="F45" s="9">
        <f t="shared" si="40"/>
        <v>10.7693494272</v>
      </c>
      <c r="G45" s="9">
        <f t="shared" si="41"/>
        <v>8.6325737471999986</v>
      </c>
      <c r="H45" s="9">
        <f t="shared" si="42"/>
        <v>3.0484666367999997</v>
      </c>
      <c r="I45" s="9">
        <f t="shared" si="43"/>
        <v>16.154024140799997</v>
      </c>
      <c r="J45" s="9">
        <f t="shared" si="44"/>
        <v>16.3534565376</v>
      </c>
      <c r="K45" s="9">
        <f t="shared" si="45"/>
        <v>7.1510759423999994</v>
      </c>
      <c r="L45" s="9">
        <f t="shared" si="46"/>
        <v>4.7578871807999992</v>
      </c>
      <c r="M45" s="9">
        <f t="shared" si="47"/>
        <v>6.9801338879999992</v>
      </c>
      <c r="N45" s="9">
        <f t="shared" si="48"/>
        <v>11.168214220799998</v>
      </c>
      <c r="O45" s="10">
        <f t="shared" si="49"/>
        <v>20.997382348799999</v>
      </c>
      <c r="P45" s="10">
        <f t="shared" si="50"/>
        <v>27.920535551999997</v>
      </c>
      <c r="Q45" s="41"/>
    </row>
    <row r="46" spans="1:17" ht="15.75" x14ac:dyDescent="0.25">
      <c r="A46" s="5"/>
      <c r="B46" s="19" t="s">
        <v>23</v>
      </c>
      <c r="C46" s="18">
        <v>673</v>
      </c>
      <c r="D46" s="8">
        <v>194.85772800000001</v>
      </c>
      <c r="E46" s="9">
        <f t="shared" si="39"/>
        <v>103.25511006720001</v>
      </c>
      <c r="F46" s="9">
        <f t="shared" si="40"/>
        <v>7.3656221184000001</v>
      </c>
      <c r="G46" s="9">
        <f t="shared" si="41"/>
        <v>5.9041891584000004</v>
      </c>
      <c r="H46" s="9">
        <f t="shared" si="42"/>
        <v>2.0849776896000001</v>
      </c>
      <c r="I46" s="9">
        <f t="shared" si="43"/>
        <v>11.0484331776</v>
      </c>
      <c r="J46" s="9">
        <f t="shared" si="44"/>
        <v>11.1848335872</v>
      </c>
      <c r="K46" s="9">
        <f t="shared" si="45"/>
        <v>4.8909289728000003</v>
      </c>
      <c r="L46" s="9">
        <f t="shared" si="46"/>
        <v>3.2541240575999999</v>
      </c>
      <c r="M46" s="9">
        <f t="shared" si="47"/>
        <v>4.7740143360000005</v>
      </c>
      <c r="N46" s="9">
        <f t="shared" si="48"/>
        <v>7.6384229375999997</v>
      </c>
      <c r="O46" s="10">
        <f t="shared" si="49"/>
        <v>14.3610145536</v>
      </c>
      <c r="P46" s="10">
        <f t="shared" si="50"/>
        <v>19.096057344000002</v>
      </c>
      <c r="Q46" s="41"/>
    </row>
    <row r="47" spans="1:17" ht="15.75" x14ac:dyDescent="0.25">
      <c r="A47" s="5"/>
      <c r="B47" s="19" t="s">
        <v>24</v>
      </c>
      <c r="C47" s="18">
        <v>635</v>
      </c>
      <c r="D47" s="8">
        <v>183.85535999999999</v>
      </c>
      <c r="E47" s="9">
        <f t="shared" si="39"/>
        <v>97.424955264000005</v>
      </c>
      <c r="F47" s="9">
        <f t="shared" si="40"/>
        <v>6.9497326079999997</v>
      </c>
      <c r="G47" s="9">
        <f t="shared" si="41"/>
        <v>5.5708174079999999</v>
      </c>
      <c r="H47" s="9">
        <f t="shared" si="42"/>
        <v>1.9672523519999998</v>
      </c>
      <c r="I47" s="9">
        <f t="shared" si="43"/>
        <v>10.424598911999999</v>
      </c>
      <c r="J47" s="9">
        <f t="shared" si="44"/>
        <v>10.553297663999999</v>
      </c>
      <c r="K47" s="9">
        <f t="shared" si="45"/>
        <v>4.6147695359999998</v>
      </c>
      <c r="L47" s="9">
        <f t="shared" si="46"/>
        <v>3.070384512</v>
      </c>
      <c r="M47" s="9">
        <f t="shared" si="47"/>
        <v>4.5044563200000001</v>
      </c>
      <c r="N47" s="9">
        <f t="shared" si="48"/>
        <v>7.2071301119999998</v>
      </c>
      <c r="O47" s="10">
        <f t="shared" si="49"/>
        <v>13.550140032</v>
      </c>
      <c r="P47" s="10">
        <f t="shared" si="50"/>
        <v>18.01782528</v>
      </c>
      <c r="Q47" s="41"/>
    </row>
    <row r="48" spans="1:17" s="30" customFormat="1" ht="15.75" x14ac:dyDescent="0.25">
      <c r="A48" s="31" t="s">
        <v>7</v>
      </c>
      <c r="B48" s="25"/>
      <c r="C48" s="26"/>
      <c r="D48" s="12">
        <f t="shared" ref="D48:P48" si="51">SUM(D35:D47)</f>
        <v>4595.0699519999989</v>
      </c>
      <c r="E48" s="29">
        <f t="shared" si="51"/>
        <v>2434.9275675647996</v>
      </c>
      <c r="F48" s="29">
        <f t="shared" si="51"/>
        <v>173.69364418560002</v>
      </c>
      <c r="G48" s="29">
        <f t="shared" si="51"/>
        <v>139.23061954560001</v>
      </c>
      <c r="H48" s="29">
        <f t="shared" si="51"/>
        <v>49.167248486400005</v>
      </c>
      <c r="I48" s="29">
        <f t="shared" si="51"/>
        <v>260.54046627840006</v>
      </c>
      <c r="J48" s="29">
        <f t="shared" si="51"/>
        <v>263.75701524480002</v>
      </c>
      <c r="K48" s="29">
        <f t="shared" si="51"/>
        <v>115.3362557952</v>
      </c>
      <c r="L48" s="29">
        <f t="shared" si="51"/>
        <v>76.737668198399987</v>
      </c>
      <c r="M48" s="29">
        <f t="shared" si="51"/>
        <v>112.57921382399999</v>
      </c>
      <c r="N48" s="29">
        <f t="shared" si="51"/>
        <v>180.12674211839999</v>
      </c>
      <c r="O48" s="24">
        <f t="shared" si="51"/>
        <v>338.65665546239995</v>
      </c>
      <c r="P48" s="24">
        <f t="shared" si="51"/>
        <v>450.31685529599997</v>
      </c>
      <c r="Q48" s="31" t="s">
        <v>39</v>
      </c>
    </row>
    <row r="49" spans="1:17" s="4" customFormat="1" ht="32.25" customHeight="1" x14ac:dyDescent="0.25">
      <c r="A49" s="3"/>
      <c r="B49" s="11" t="s">
        <v>7</v>
      </c>
      <c r="C49" s="11"/>
      <c r="D49" s="12">
        <f t="shared" ref="D49:P49" si="52">D48+D33+D18+D13</f>
        <v>95992.808827899993</v>
      </c>
      <c r="E49" s="13">
        <f t="shared" si="52"/>
        <v>49196.937747629345</v>
      </c>
      <c r="F49" s="13">
        <f t="shared" si="52"/>
        <v>2932.2725911582297</v>
      </c>
      <c r="G49" s="13">
        <f t="shared" si="52"/>
        <v>2160.64069258168</v>
      </c>
      <c r="H49" s="13">
        <f t="shared" si="52"/>
        <v>765.13487352679999</v>
      </c>
      <c r="I49" s="13">
        <f t="shared" si="52"/>
        <v>4538.7893825945494</v>
      </c>
      <c r="J49" s="13">
        <f t="shared" si="52"/>
        <v>5393.278671477</v>
      </c>
      <c r="K49" s="13">
        <f t="shared" si="52"/>
        <v>1875.6621835123901</v>
      </c>
      <c r="L49" s="13">
        <f t="shared" si="52"/>
        <v>1517.0197344366998</v>
      </c>
      <c r="M49" s="13">
        <f t="shared" si="52"/>
        <v>2412.3316512330703</v>
      </c>
      <c r="N49" s="13">
        <f t="shared" si="52"/>
        <v>2459.3165698965895</v>
      </c>
      <c r="O49" s="11">
        <f t="shared" si="52"/>
        <v>5057.2358062220992</v>
      </c>
      <c r="P49" s="11">
        <f t="shared" si="52"/>
        <v>17684.18892363154</v>
      </c>
      <c r="Q49" s="31">
        <v>95992.808827899978</v>
      </c>
    </row>
    <row r="50" spans="1:17" ht="15.75" x14ac:dyDescent="0.25">
      <c r="B50" s="32"/>
      <c r="D50" s="33"/>
    </row>
    <row r="52" spans="1:17" x14ac:dyDescent="0.25">
      <c r="E52" s="1"/>
      <c r="F52" s="2"/>
      <c r="H52" s="2"/>
    </row>
  </sheetData>
  <mergeCells count="5">
    <mergeCell ref="B6:B7"/>
    <mergeCell ref="D6:D7"/>
    <mergeCell ref="E7:P7"/>
    <mergeCell ref="A6:A7"/>
    <mergeCell ref="C6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RePack by Diakov</cp:lastModifiedBy>
  <dcterms:created xsi:type="dcterms:W3CDTF">2021-12-18T15:57:58Z</dcterms:created>
  <dcterms:modified xsi:type="dcterms:W3CDTF">2022-10-08T11:28:08Z</dcterms:modified>
</cp:coreProperties>
</file>