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файлы со страгого компа\Елена\Региональный фонд, капремонт\Нормативка\Предельная стоимость\2021\"/>
    </mc:Choice>
  </mc:AlternateContent>
  <bookViews>
    <workbookView xWindow="0" yWindow="0" windowWidth="28800" windowHeight="11835"/>
  </bookViews>
  <sheets>
    <sheet name="Таблица 1 Классификация" sheetId="8" r:id="rId1"/>
    <sheet name="Таблица 2 Раз-р пред.стоимости" sheetId="7" r:id="rId2"/>
  </sheets>
  <definedNames>
    <definedName name="_xlnm._FilterDatabase" localSheetId="1" hidden="1">'Таблица 2 Раз-р пред.стоимости'!$A$2:$U$9</definedName>
    <definedName name="_xlnm.Print_Area" localSheetId="1">'Таблица 2 Раз-р пред.стоимости'!$A$1:$L$1501</definedName>
  </definedNames>
  <calcPr calcId="152511"/>
</workbook>
</file>

<file path=xl/calcChain.xml><?xml version="1.0" encoding="utf-8"?>
<calcChain xmlns="http://schemas.openxmlformats.org/spreadsheetml/2006/main">
  <c r="D1429" i="7" l="1"/>
  <c r="E1429" i="7"/>
  <c r="F1429" i="7"/>
  <c r="G1429" i="7"/>
  <c r="H1429" i="7"/>
  <c r="I1429" i="7"/>
  <c r="J1429" i="7"/>
  <c r="K1429" i="7"/>
  <c r="E1370" i="7"/>
  <c r="F1370" i="7"/>
  <c r="H1370" i="7"/>
  <c r="I1370" i="7"/>
  <c r="I1371" i="7" s="1"/>
  <c r="D1371" i="7"/>
  <c r="E1371" i="7"/>
  <c r="F1371" i="7"/>
  <c r="F1372" i="7" s="1"/>
  <c r="H1371" i="7"/>
  <c r="H1372" i="7" s="1"/>
  <c r="J1371" i="7"/>
  <c r="C1372" i="7"/>
  <c r="D1372" i="7"/>
  <c r="E1372" i="7"/>
  <c r="J1372" i="7"/>
  <c r="C1373" i="7"/>
  <c r="D1373" i="7"/>
  <c r="E1373" i="7"/>
  <c r="F1373" i="7"/>
  <c r="H1373" i="7" s="1"/>
  <c r="I1373" i="7"/>
  <c r="J1373" i="7"/>
  <c r="I11" i="7"/>
  <c r="I1372" i="7" l="1"/>
  <c r="B9" i="8"/>
  <c r="C9" i="8" s="1"/>
  <c r="D9" i="8" s="1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P4" i="7" l="1"/>
  <c r="C1374" i="7" l="1"/>
  <c r="H1374" i="7"/>
  <c r="D1374" i="7"/>
  <c r="I1374" i="7"/>
  <c r="E1374" i="7"/>
  <c r="J1374" i="7"/>
  <c r="F1374" i="7"/>
  <c r="J1273" i="7"/>
  <c r="I1273" i="7"/>
  <c r="G1273" i="7"/>
  <c r="F1273" i="7"/>
  <c r="H1273" i="7" s="1"/>
  <c r="E1273" i="7"/>
  <c r="D1273" i="7"/>
  <c r="C1273" i="7"/>
  <c r="D1272" i="7"/>
  <c r="J1271" i="7"/>
  <c r="I1271" i="7"/>
  <c r="H1271" i="7"/>
  <c r="G1271" i="7"/>
  <c r="F1271" i="7"/>
  <c r="E1271" i="7"/>
  <c r="C1271" i="7"/>
  <c r="C1272" i="7" s="1"/>
  <c r="J1194" i="7"/>
  <c r="K1194" i="7" s="1"/>
  <c r="K1196" i="7" s="1"/>
  <c r="I1194" i="7"/>
  <c r="I1196" i="7" s="1"/>
  <c r="G1194" i="7"/>
  <c r="G1196" i="7" s="1"/>
  <c r="F1194" i="7"/>
  <c r="F1196" i="7" s="1"/>
  <c r="E1194" i="7"/>
  <c r="E1196" i="7" s="1"/>
  <c r="D1194" i="7"/>
  <c r="D1196" i="7" s="1"/>
  <c r="C1194" i="7"/>
  <c r="C1196" i="7" s="1"/>
  <c r="D1193" i="7"/>
  <c r="K1192" i="7"/>
  <c r="J1192" i="7"/>
  <c r="I1192" i="7"/>
  <c r="H1192" i="7"/>
  <c r="H1193" i="7" s="1"/>
  <c r="G1192" i="7"/>
  <c r="F1192" i="7"/>
  <c r="E1192" i="7"/>
  <c r="C1192" i="7"/>
  <c r="J1187" i="7"/>
  <c r="K1187" i="7" s="1"/>
  <c r="I1187" i="7"/>
  <c r="G1187" i="7"/>
  <c r="F1187" i="7"/>
  <c r="H1187" i="7" s="1"/>
  <c r="E1187" i="7"/>
  <c r="D1187" i="7"/>
  <c r="C1187" i="7"/>
  <c r="D1186" i="7"/>
  <c r="K1185" i="7"/>
  <c r="J1185" i="7"/>
  <c r="J1186" i="7" s="1"/>
  <c r="I1185" i="7"/>
  <c r="H1185" i="7"/>
  <c r="G1185" i="7"/>
  <c r="F1185" i="7"/>
  <c r="F1186" i="7" s="1"/>
  <c r="E1185" i="7"/>
  <c r="C1185" i="7"/>
  <c r="J1064" i="7"/>
  <c r="K1064" i="7" s="1"/>
  <c r="I1064" i="7"/>
  <c r="G1064" i="7"/>
  <c r="F1064" i="7"/>
  <c r="H1064" i="7" s="1"/>
  <c r="E1064" i="7"/>
  <c r="D1064" i="7"/>
  <c r="C1064" i="7"/>
  <c r="K1063" i="7"/>
  <c r="J1063" i="7"/>
  <c r="I1063" i="7"/>
  <c r="H1063" i="7"/>
  <c r="G1063" i="7"/>
  <c r="F1063" i="7"/>
  <c r="E1063" i="7"/>
  <c r="D1063" i="7"/>
  <c r="C1063" i="7"/>
  <c r="K1062" i="7"/>
  <c r="J1062" i="7"/>
  <c r="I1062" i="7"/>
  <c r="H1062" i="7"/>
  <c r="G1062" i="7"/>
  <c r="F1062" i="7"/>
  <c r="E1062" i="7"/>
  <c r="D1062" i="7"/>
  <c r="C1062" i="7"/>
  <c r="J972" i="7"/>
  <c r="K972" i="7" s="1"/>
  <c r="I972" i="7"/>
  <c r="G972" i="7"/>
  <c r="F972" i="7"/>
  <c r="H972" i="7" s="1"/>
  <c r="E972" i="7"/>
  <c r="D972" i="7"/>
  <c r="C972" i="7"/>
  <c r="K970" i="7"/>
  <c r="J970" i="7"/>
  <c r="I970" i="7"/>
  <c r="H970" i="7"/>
  <c r="H971" i="7" s="1"/>
  <c r="G970" i="7"/>
  <c r="F970" i="7"/>
  <c r="E970" i="7"/>
  <c r="D970" i="7"/>
  <c r="D971" i="7" s="1"/>
  <c r="C970" i="7"/>
  <c r="J713" i="7"/>
  <c r="K713" i="7" s="1"/>
  <c r="K715" i="7" s="1"/>
  <c r="I713" i="7"/>
  <c r="I715" i="7" s="1"/>
  <c r="G713" i="7"/>
  <c r="G715" i="7" s="1"/>
  <c r="F713" i="7"/>
  <c r="F715" i="7" s="1"/>
  <c r="E713" i="7"/>
  <c r="E715" i="7" s="1"/>
  <c r="D713" i="7"/>
  <c r="D715" i="7" s="1"/>
  <c r="C713" i="7"/>
  <c r="C715" i="7" s="1"/>
  <c r="K711" i="7"/>
  <c r="J711" i="7"/>
  <c r="I711" i="7"/>
  <c r="I712" i="7" s="1"/>
  <c r="H711" i="7"/>
  <c r="G711" i="7"/>
  <c r="F711" i="7"/>
  <c r="E711" i="7"/>
  <c r="E712" i="7" s="1"/>
  <c r="D711" i="7"/>
  <c r="C711" i="7"/>
  <c r="J671" i="7"/>
  <c r="K671" i="7" s="1"/>
  <c r="I671" i="7"/>
  <c r="G671" i="7"/>
  <c r="F671" i="7"/>
  <c r="H671" i="7" s="1"/>
  <c r="E671" i="7"/>
  <c r="D671" i="7"/>
  <c r="C671" i="7"/>
  <c r="K669" i="7"/>
  <c r="J669" i="7"/>
  <c r="J670" i="7" s="1"/>
  <c r="I669" i="7"/>
  <c r="I670" i="7" s="1"/>
  <c r="H669" i="7"/>
  <c r="G669" i="7"/>
  <c r="F669" i="7"/>
  <c r="E669" i="7"/>
  <c r="E670" i="7" s="1"/>
  <c r="D669" i="7"/>
  <c r="C669" i="7"/>
  <c r="J664" i="7"/>
  <c r="K664" i="7" s="1"/>
  <c r="I664" i="7"/>
  <c r="G664" i="7"/>
  <c r="F664" i="7"/>
  <c r="H664" i="7" s="1"/>
  <c r="E664" i="7"/>
  <c r="D664" i="7"/>
  <c r="C664" i="7"/>
  <c r="K662" i="7"/>
  <c r="J662" i="7"/>
  <c r="I662" i="7"/>
  <c r="I663" i="7" s="1"/>
  <c r="H662" i="7"/>
  <c r="G662" i="7"/>
  <c r="F662" i="7"/>
  <c r="E662" i="7"/>
  <c r="E663" i="7" s="1"/>
  <c r="D662" i="7"/>
  <c r="C662" i="7"/>
  <c r="J400" i="7"/>
  <c r="J402" i="7" s="1"/>
  <c r="I400" i="7"/>
  <c r="I402" i="7" s="1"/>
  <c r="G400" i="7"/>
  <c r="G402" i="7" s="1"/>
  <c r="F400" i="7"/>
  <c r="F402" i="7" s="1"/>
  <c r="E400" i="7"/>
  <c r="E402" i="7" s="1"/>
  <c r="D400" i="7"/>
  <c r="D402" i="7" s="1"/>
  <c r="C400" i="7"/>
  <c r="C402" i="7" s="1"/>
  <c r="K398" i="7"/>
  <c r="J398" i="7"/>
  <c r="I398" i="7"/>
  <c r="H398" i="7"/>
  <c r="H399" i="7" s="1"/>
  <c r="G398" i="7"/>
  <c r="F398" i="7"/>
  <c r="E398" i="7"/>
  <c r="D398" i="7"/>
  <c r="D399" i="7" s="1"/>
  <c r="C398" i="7"/>
  <c r="J203" i="7"/>
  <c r="K203" i="7" s="1"/>
  <c r="K205" i="7" s="1"/>
  <c r="I203" i="7"/>
  <c r="I205" i="7" s="1"/>
  <c r="G203" i="7"/>
  <c r="G205" i="7" s="1"/>
  <c r="F203" i="7"/>
  <c r="F205" i="7" s="1"/>
  <c r="E203" i="7"/>
  <c r="E205" i="7" s="1"/>
  <c r="D203" i="7"/>
  <c r="D205" i="7" s="1"/>
  <c r="C203" i="7"/>
  <c r="C205" i="7" s="1"/>
  <c r="K201" i="7"/>
  <c r="J201" i="7"/>
  <c r="I201" i="7"/>
  <c r="H201" i="7"/>
  <c r="H202" i="7" s="1"/>
  <c r="G201" i="7"/>
  <c r="F201" i="7"/>
  <c r="E201" i="7"/>
  <c r="E202" i="7" s="1"/>
  <c r="D201" i="7"/>
  <c r="D202" i="7" s="1"/>
  <c r="C201" i="7"/>
  <c r="I1375" i="7" l="1"/>
  <c r="I1376" i="7"/>
  <c r="F1375" i="7"/>
  <c r="F1376" i="7"/>
  <c r="D1375" i="7"/>
  <c r="D1376" i="7"/>
  <c r="J1375" i="7"/>
  <c r="J1376" i="7"/>
  <c r="H1375" i="7"/>
  <c r="H1376" i="7"/>
  <c r="E1375" i="7"/>
  <c r="E1376" i="7"/>
  <c r="C1376" i="7"/>
  <c r="C1375" i="7"/>
  <c r="H1194" i="7"/>
  <c r="H1196" i="7" s="1"/>
  <c r="J1196" i="7"/>
  <c r="J715" i="7"/>
  <c r="H1272" i="7"/>
  <c r="E1272" i="7"/>
  <c r="I1272" i="7"/>
  <c r="G1272" i="7"/>
  <c r="F1272" i="7"/>
  <c r="J1272" i="7"/>
  <c r="D1197" i="7"/>
  <c r="E1193" i="7"/>
  <c r="E1197" i="7" s="1"/>
  <c r="I1193" i="7"/>
  <c r="I1197" i="7" s="1"/>
  <c r="F1193" i="7"/>
  <c r="F1197" i="7" s="1"/>
  <c r="J1193" i="7"/>
  <c r="J1197" i="7" s="1"/>
  <c r="C1193" i="7"/>
  <c r="C1197" i="7" s="1"/>
  <c r="G1193" i="7"/>
  <c r="G1197" i="7" s="1"/>
  <c r="K1193" i="7"/>
  <c r="K1197" i="7" s="1"/>
  <c r="H1186" i="7"/>
  <c r="E1186" i="7"/>
  <c r="I1186" i="7"/>
  <c r="C1186" i="7"/>
  <c r="G1186" i="7"/>
  <c r="K1186" i="7"/>
  <c r="E716" i="7"/>
  <c r="I716" i="7"/>
  <c r="H713" i="7"/>
  <c r="H715" i="7" s="1"/>
  <c r="E971" i="7"/>
  <c r="I971" i="7"/>
  <c r="F971" i="7"/>
  <c r="J971" i="7"/>
  <c r="C971" i="7"/>
  <c r="G971" i="7"/>
  <c r="K971" i="7"/>
  <c r="J712" i="7"/>
  <c r="J716" i="7" s="1"/>
  <c r="D712" i="7"/>
  <c r="D716" i="7" s="1"/>
  <c r="H712" i="7"/>
  <c r="F712" i="7"/>
  <c r="F716" i="7" s="1"/>
  <c r="C712" i="7"/>
  <c r="C716" i="7" s="1"/>
  <c r="G712" i="7"/>
  <c r="G716" i="7" s="1"/>
  <c r="K712" i="7"/>
  <c r="K716" i="7" s="1"/>
  <c r="H400" i="7"/>
  <c r="H402" i="7" s="1"/>
  <c r="F670" i="7"/>
  <c r="D670" i="7"/>
  <c r="H670" i="7"/>
  <c r="C670" i="7"/>
  <c r="G670" i="7"/>
  <c r="K670" i="7"/>
  <c r="F663" i="7"/>
  <c r="J663" i="7"/>
  <c r="C663" i="7"/>
  <c r="G663" i="7"/>
  <c r="K663" i="7"/>
  <c r="D663" i="7"/>
  <c r="H663" i="7"/>
  <c r="K400" i="7"/>
  <c r="K402" i="7" s="1"/>
  <c r="D403" i="7"/>
  <c r="E399" i="7"/>
  <c r="E403" i="7" s="1"/>
  <c r="I399" i="7"/>
  <c r="I403" i="7" s="1"/>
  <c r="F399" i="7"/>
  <c r="F403" i="7" s="1"/>
  <c r="J399" i="7"/>
  <c r="J403" i="7" s="1"/>
  <c r="C399" i="7"/>
  <c r="C403" i="7" s="1"/>
  <c r="G399" i="7"/>
  <c r="G403" i="7" s="1"/>
  <c r="K399" i="7"/>
  <c r="H203" i="7"/>
  <c r="H205" i="7" s="1"/>
  <c r="J205" i="7"/>
  <c r="D206" i="7"/>
  <c r="I202" i="7"/>
  <c r="I206" i="7" s="1"/>
  <c r="E206" i="7"/>
  <c r="F202" i="7"/>
  <c r="F206" i="7" s="1"/>
  <c r="J202" i="7"/>
  <c r="J206" i="7" s="1"/>
  <c r="C202" i="7"/>
  <c r="C206" i="7" s="1"/>
  <c r="G202" i="7"/>
  <c r="G206" i="7" s="1"/>
  <c r="K202" i="7"/>
  <c r="K206" i="7" s="1"/>
  <c r="J62" i="7"/>
  <c r="K62" i="7" s="1"/>
  <c r="K64" i="7" s="1"/>
  <c r="I62" i="7"/>
  <c r="I64" i="7" s="1"/>
  <c r="G62" i="7"/>
  <c r="G64" i="7" s="1"/>
  <c r="F62" i="7"/>
  <c r="H62" i="7" s="1"/>
  <c r="H64" i="7" s="1"/>
  <c r="E62" i="7"/>
  <c r="E64" i="7" s="1"/>
  <c r="D62" i="7"/>
  <c r="D64" i="7" s="1"/>
  <c r="C62" i="7"/>
  <c r="C64" i="7" s="1"/>
  <c r="K60" i="7"/>
  <c r="J60" i="7"/>
  <c r="J61" i="7" s="1"/>
  <c r="J65" i="7" s="1"/>
  <c r="I60" i="7"/>
  <c r="H60" i="7"/>
  <c r="G60" i="7"/>
  <c r="F60" i="7"/>
  <c r="F61" i="7" s="1"/>
  <c r="E60" i="7"/>
  <c r="D60" i="7"/>
  <c r="C60" i="7"/>
  <c r="H1197" i="7" l="1"/>
  <c r="H716" i="7"/>
  <c r="H403" i="7"/>
  <c r="F64" i="7"/>
  <c r="F65" i="7"/>
  <c r="H206" i="7"/>
  <c r="K403" i="7"/>
  <c r="J64" i="7"/>
  <c r="C61" i="7"/>
  <c r="C65" i="7" s="1"/>
  <c r="G61" i="7"/>
  <c r="G65" i="7" s="1"/>
  <c r="K61" i="7"/>
  <c r="K65" i="7" s="1"/>
  <c r="D61" i="7"/>
  <c r="D65" i="7" s="1"/>
  <c r="H61" i="7"/>
  <c r="H65" i="7" s="1"/>
  <c r="E61" i="7"/>
  <c r="E65" i="7" s="1"/>
  <c r="I61" i="7"/>
  <c r="I65" i="7" s="1"/>
  <c r="J104" i="7" l="1"/>
  <c r="J106" i="7" s="1"/>
  <c r="I104" i="7"/>
  <c r="I106" i="7" s="1"/>
  <c r="G104" i="7"/>
  <c r="G106" i="7" s="1"/>
  <c r="F104" i="7"/>
  <c r="F106" i="7" s="1"/>
  <c r="E104" i="7"/>
  <c r="E106" i="7" s="1"/>
  <c r="D104" i="7"/>
  <c r="D106" i="7" s="1"/>
  <c r="C104" i="7"/>
  <c r="C106" i="7" s="1"/>
  <c r="K102" i="7"/>
  <c r="J102" i="7"/>
  <c r="I102" i="7"/>
  <c r="H102" i="7"/>
  <c r="H103" i="7" s="1"/>
  <c r="G102" i="7"/>
  <c r="F102" i="7"/>
  <c r="E102" i="7"/>
  <c r="D102" i="7"/>
  <c r="D103" i="7" s="1"/>
  <c r="C102" i="7"/>
  <c r="D107" i="7" l="1"/>
  <c r="K104" i="7"/>
  <c r="K106" i="7" s="1"/>
  <c r="H104" i="7"/>
  <c r="H106" i="7" s="1"/>
  <c r="E103" i="7"/>
  <c r="E107" i="7" s="1"/>
  <c r="I103" i="7"/>
  <c r="I107" i="7" s="1"/>
  <c r="F103" i="7"/>
  <c r="F107" i="7" s="1"/>
  <c r="J103" i="7"/>
  <c r="J107" i="7" s="1"/>
  <c r="C103" i="7"/>
  <c r="C107" i="7" s="1"/>
  <c r="G103" i="7"/>
  <c r="G107" i="7" s="1"/>
  <c r="K103" i="7"/>
  <c r="K107" i="7" s="1"/>
  <c r="C1220" i="7"/>
  <c r="C1213" i="7"/>
  <c r="C1206" i="7"/>
  <c r="C1199" i="7"/>
  <c r="C109" i="7"/>
  <c r="C95" i="7"/>
  <c r="C88" i="7"/>
  <c r="C81" i="7"/>
  <c r="C74" i="7"/>
  <c r="C67" i="7"/>
  <c r="C53" i="7"/>
  <c r="H107" i="7" l="1"/>
  <c r="D1464" i="7"/>
  <c r="D1471" i="7"/>
  <c r="D1478" i="7"/>
  <c r="D1177" i="7" l="1"/>
  <c r="E1177" i="7"/>
  <c r="F1177" i="7"/>
  <c r="H1177" i="7"/>
  <c r="I1177" i="7"/>
  <c r="J1177" i="7"/>
  <c r="E1170" i="7"/>
  <c r="F1170" i="7"/>
  <c r="H1170" i="7"/>
  <c r="I1170" i="7"/>
  <c r="J1170" i="7"/>
  <c r="D1170" i="7"/>
  <c r="D1163" i="7"/>
  <c r="E1163" i="7"/>
  <c r="F1163" i="7"/>
  <c r="G1163" i="7"/>
  <c r="H1163" i="7"/>
  <c r="I1163" i="7"/>
  <c r="J1163" i="7"/>
  <c r="K1163" i="7"/>
  <c r="C1163" i="7"/>
  <c r="D1135" i="7"/>
  <c r="C1363" i="7" l="1"/>
  <c r="D1363" i="7"/>
  <c r="E819" i="7" l="1"/>
  <c r="F819" i="7"/>
  <c r="H819" i="7"/>
  <c r="I819" i="7"/>
  <c r="J819" i="7"/>
  <c r="D819" i="7"/>
  <c r="D812" i="7"/>
  <c r="F812" i="7"/>
  <c r="H812" i="7"/>
  <c r="I812" i="7"/>
  <c r="J812" i="7"/>
  <c r="G1152" i="7" l="1"/>
  <c r="I1152" i="7"/>
  <c r="C292" i="7"/>
  <c r="C293" i="7" s="1"/>
  <c r="C294" i="7"/>
  <c r="C299" i="7"/>
  <c r="C300" i="7" s="1"/>
  <c r="C301" i="7"/>
  <c r="C306" i="7"/>
  <c r="C307" i="7" s="1"/>
  <c r="C308" i="7"/>
  <c r="D271" i="7" l="1"/>
  <c r="E271" i="7"/>
  <c r="F271" i="7"/>
  <c r="G271" i="7"/>
  <c r="H271" i="7"/>
  <c r="I271" i="7"/>
  <c r="J271" i="7"/>
  <c r="K271" i="7"/>
  <c r="C271" i="7"/>
  <c r="D962" i="7" l="1"/>
  <c r="E962" i="7"/>
  <c r="F962" i="7"/>
  <c r="G962" i="7"/>
  <c r="H962" i="7"/>
  <c r="I962" i="7"/>
  <c r="J962" i="7"/>
  <c r="K962" i="7"/>
  <c r="C962" i="7"/>
  <c r="D955" i="7"/>
  <c r="E955" i="7"/>
  <c r="F955" i="7"/>
  <c r="G955" i="7"/>
  <c r="H955" i="7"/>
  <c r="I955" i="7"/>
  <c r="J955" i="7"/>
  <c r="K955" i="7"/>
  <c r="C955" i="7"/>
  <c r="D948" i="7"/>
  <c r="E948" i="7"/>
  <c r="F948" i="7"/>
  <c r="G948" i="7"/>
  <c r="H948" i="7"/>
  <c r="I948" i="7"/>
  <c r="J948" i="7"/>
  <c r="C948" i="7"/>
  <c r="D941" i="7"/>
  <c r="E941" i="7"/>
  <c r="F941" i="7"/>
  <c r="G941" i="7"/>
  <c r="H941" i="7"/>
  <c r="I941" i="7"/>
  <c r="J941" i="7"/>
  <c r="C941" i="7"/>
  <c r="D934" i="7"/>
  <c r="E934" i="7"/>
  <c r="F934" i="7"/>
  <c r="G934" i="7"/>
  <c r="H934" i="7"/>
  <c r="I934" i="7"/>
  <c r="J934" i="7"/>
  <c r="K934" i="7"/>
  <c r="C934" i="7"/>
  <c r="D927" i="7"/>
  <c r="E927" i="7"/>
  <c r="F927" i="7"/>
  <c r="G927" i="7"/>
  <c r="H927" i="7"/>
  <c r="I927" i="7"/>
  <c r="J927" i="7"/>
  <c r="K927" i="7"/>
  <c r="C927" i="7"/>
  <c r="C1431" i="7"/>
  <c r="C1478" i="7" l="1"/>
  <c r="J1274" i="7" l="1"/>
  <c r="F1274" i="7"/>
  <c r="I1188" i="7"/>
  <c r="E1188" i="7"/>
  <c r="K1065" i="7"/>
  <c r="G1065" i="7"/>
  <c r="C1065" i="7"/>
  <c r="I1274" i="7"/>
  <c r="E1274" i="7"/>
  <c r="H1188" i="7"/>
  <c r="D1188" i="7"/>
  <c r="J1065" i="7"/>
  <c r="F1065" i="7"/>
  <c r="H1274" i="7"/>
  <c r="D1274" i="7"/>
  <c r="K1188" i="7"/>
  <c r="G1188" i="7"/>
  <c r="C1188" i="7"/>
  <c r="I1065" i="7"/>
  <c r="E1065" i="7"/>
  <c r="G1274" i="7"/>
  <c r="C1274" i="7"/>
  <c r="J1188" i="7"/>
  <c r="F1188" i="7"/>
  <c r="H1065" i="7"/>
  <c r="D1065" i="7"/>
  <c r="I973" i="7"/>
  <c r="E973" i="7"/>
  <c r="H973" i="7"/>
  <c r="D973" i="7"/>
  <c r="K973" i="7"/>
  <c r="G973" i="7"/>
  <c r="C973" i="7"/>
  <c r="J973" i="7"/>
  <c r="F973" i="7"/>
  <c r="I672" i="7"/>
  <c r="E672" i="7"/>
  <c r="K665" i="7"/>
  <c r="G665" i="7"/>
  <c r="C665" i="7"/>
  <c r="H672" i="7"/>
  <c r="D672" i="7"/>
  <c r="J665" i="7"/>
  <c r="F665" i="7"/>
  <c r="K672" i="7"/>
  <c r="G672" i="7"/>
  <c r="C672" i="7"/>
  <c r="I665" i="7"/>
  <c r="E665" i="7"/>
  <c r="J672" i="7"/>
  <c r="F672" i="7"/>
  <c r="H665" i="7"/>
  <c r="D665" i="7"/>
  <c r="C295" i="7"/>
  <c r="C302" i="7"/>
  <c r="C309" i="7"/>
  <c r="C310" i="7" s="1"/>
  <c r="E1478" i="7"/>
  <c r="F1478" i="7"/>
  <c r="H1478" i="7"/>
  <c r="I1478" i="7"/>
  <c r="J1478" i="7"/>
  <c r="E1471" i="7"/>
  <c r="F1471" i="7"/>
  <c r="H1471" i="7"/>
  <c r="I1471" i="7"/>
  <c r="J1471" i="7"/>
  <c r="E1464" i="7"/>
  <c r="F1464" i="7"/>
  <c r="G1464" i="7"/>
  <c r="H1464" i="7"/>
  <c r="I1464" i="7"/>
  <c r="J1464" i="7"/>
  <c r="E1457" i="7"/>
  <c r="F1457" i="7"/>
  <c r="G1457" i="7"/>
  <c r="H1457" i="7"/>
  <c r="I1457" i="7"/>
  <c r="J1457" i="7"/>
  <c r="K1457" i="7"/>
  <c r="E1450" i="7"/>
  <c r="F1450" i="7"/>
  <c r="G1450" i="7"/>
  <c r="H1450" i="7"/>
  <c r="I1450" i="7"/>
  <c r="J1450" i="7"/>
  <c r="K1450" i="7"/>
  <c r="E1443" i="7"/>
  <c r="F1443" i="7"/>
  <c r="G1443" i="7"/>
  <c r="H1443" i="7"/>
  <c r="I1443" i="7"/>
  <c r="J1443" i="7"/>
  <c r="K1443" i="7"/>
  <c r="E1436" i="7"/>
  <c r="F1436" i="7"/>
  <c r="G1436" i="7"/>
  <c r="H1436" i="7"/>
  <c r="I1436" i="7"/>
  <c r="J1436" i="7"/>
  <c r="E1420" i="7"/>
  <c r="E1421" i="7" s="1"/>
  <c r="F1421" i="7"/>
  <c r="H1421" i="7"/>
  <c r="I1421" i="7"/>
  <c r="J1421" i="7"/>
  <c r="D1414" i="7"/>
  <c r="E1414" i="7"/>
  <c r="F1414" i="7"/>
  <c r="G1414" i="7"/>
  <c r="H1414" i="7"/>
  <c r="I1414" i="7"/>
  <c r="J1414" i="7"/>
  <c r="K1414" i="7"/>
  <c r="C1414" i="7"/>
  <c r="D1407" i="7"/>
  <c r="E1407" i="7"/>
  <c r="F1407" i="7"/>
  <c r="G1407" i="7"/>
  <c r="H1407" i="7"/>
  <c r="I1407" i="7"/>
  <c r="J1407" i="7"/>
  <c r="K1407" i="7"/>
  <c r="D1400" i="7"/>
  <c r="E1400" i="7"/>
  <c r="F1400" i="7"/>
  <c r="G1400" i="7"/>
  <c r="H1400" i="7"/>
  <c r="I1400" i="7"/>
  <c r="J1400" i="7"/>
  <c r="K1400" i="7"/>
  <c r="D1393" i="7"/>
  <c r="E1393" i="7"/>
  <c r="F1393" i="7"/>
  <c r="G1393" i="7"/>
  <c r="H1393" i="7"/>
  <c r="I1393" i="7"/>
  <c r="J1393" i="7"/>
  <c r="K1393" i="7"/>
  <c r="E1386" i="7"/>
  <c r="F1386" i="7"/>
  <c r="G1386" i="7"/>
  <c r="H1386" i="7"/>
  <c r="I1386" i="7"/>
  <c r="J1386" i="7"/>
  <c r="K1386" i="7"/>
  <c r="D1379" i="7"/>
  <c r="E1379" i="7"/>
  <c r="F1379" i="7"/>
  <c r="G1379" i="7"/>
  <c r="H1379" i="7"/>
  <c r="I1379" i="7"/>
  <c r="J1379" i="7"/>
  <c r="K1379" i="7"/>
  <c r="D1307" i="7"/>
  <c r="D1314" i="7"/>
  <c r="D1335" i="7"/>
  <c r="D1342" i="7"/>
  <c r="D1356" i="7"/>
  <c r="E1363" i="7"/>
  <c r="F1363" i="7"/>
  <c r="H1363" i="7"/>
  <c r="I1363" i="7"/>
  <c r="J1363" i="7"/>
  <c r="E1356" i="7"/>
  <c r="F1356" i="7"/>
  <c r="H1356" i="7"/>
  <c r="I1356" i="7"/>
  <c r="J1356" i="7"/>
  <c r="C1356" i="7"/>
  <c r="D1349" i="7"/>
  <c r="E1349" i="7"/>
  <c r="F1349" i="7"/>
  <c r="G1349" i="7"/>
  <c r="H1349" i="7"/>
  <c r="I1349" i="7"/>
  <c r="J1349" i="7"/>
  <c r="K1349" i="7"/>
  <c r="C1349" i="7"/>
  <c r="E1342" i="7"/>
  <c r="F1342" i="7"/>
  <c r="G1342" i="7"/>
  <c r="H1342" i="7"/>
  <c r="I1342" i="7"/>
  <c r="J1342" i="7"/>
  <c r="K1342" i="7"/>
  <c r="C1342" i="7"/>
  <c r="E1335" i="7"/>
  <c r="F1335" i="7"/>
  <c r="G1335" i="7"/>
  <c r="H1335" i="7"/>
  <c r="I1335" i="7"/>
  <c r="J1335" i="7"/>
  <c r="C1335" i="7"/>
  <c r="D1328" i="7"/>
  <c r="E1328" i="7"/>
  <c r="F1328" i="7"/>
  <c r="G1328" i="7"/>
  <c r="H1328" i="7"/>
  <c r="I1328" i="7"/>
  <c r="J1328" i="7"/>
  <c r="K1328" i="7"/>
  <c r="C1328" i="7"/>
  <c r="D1321" i="7"/>
  <c r="E1321" i="7"/>
  <c r="F1321" i="7"/>
  <c r="G1321" i="7"/>
  <c r="H1321" i="7"/>
  <c r="I1321" i="7"/>
  <c r="J1321" i="7"/>
  <c r="K1321" i="7"/>
  <c r="C1321" i="7"/>
  <c r="F1314" i="7"/>
  <c r="G1314" i="7"/>
  <c r="H1314" i="7"/>
  <c r="I1314" i="7"/>
  <c r="J1314" i="7"/>
  <c r="K1314" i="7"/>
  <c r="E1307" i="7"/>
  <c r="F1307" i="7"/>
  <c r="G1307" i="7"/>
  <c r="H1307" i="7"/>
  <c r="I1307" i="7"/>
  <c r="J1307" i="7"/>
  <c r="K1307" i="7"/>
  <c r="C1307" i="7"/>
  <c r="D1285" i="7"/>
  <c r="H1299" i="7"/>
  <c r="I1299" i="7"/>
  <c r="J1299" i="7"/>
  <c r="E1292" i="7"/>
  <c r="F1292" i="7"/>
  <c r="H1292" i="7"/>
  <c r="I1292" i="7"/>
  <c r="J1292" i="7"/>
  <c r="E1285" i="7"/>
  <c r="F1285" i="7"/>
  <c r="G1285" i="7"/>
  <c r="H1285" i="7"/>
  <c r="I1285" i="7"/>
  <c r="J1285" i="7"/>
  <c r="E1278" i="7"/>
  <c r="F1278" i="7"/>
  <c r="G1278" i="7"/>
  <c r="H1278" i="7"/>
  <c r="I1278" i="7"/>
  <c r="J1278" i="7"/>
  <c r="C1278" i="7"/>
  <c r="D1263" i="7"/>
  <c r="E1263" i="7"/>
  <c r="F1263" i="7"/>
  <c r="H1263" i="7"/>
  <c r="I1263" i="7"/>
  <c r="J1263" i="7"/>
  <c r="F1189" i="7" l="1"/>
  <c r="F1190" i="7"/>
  <c r="E1066" i="7"/>
  <c r="E1067" i="7"/>
  <c r="K1189" i="7"/>
  <c r="K1190" i="7"/>
  <c r="J1066" i="7"/>
  <c r="J1067" i="7"/>
  <c r="I1275" i="7"/>
  <c r="I1276" i="7"/>
  <c r="E1189" i="7"/>
  <c r="E1190" i="7"/>
  <c r="J1189" i="7"/>
  <c r="J1190" i="7"/>
  <c r="I1066" i="7"/>
  <c r="I1067" i="7"/>
  <c r="D1275" i="7"/>
  <c r="D1276" i="7"/>
  <c r="D1189" i="7"/>
  <c r="D1190" i="7"/>
  <c r="C1066" i="7"/>
  <c r="C1067" i="7"/>
  <c r="I1189" i="7"/>
  <c r="I1190" i="7"/>
  <c r="D1066" i="7"/>
  <c r="D1067" i="7"/>
  <c r="C1275" i="7"/>
  <c r="C1276" i="7"/>
  <c r="C1189" i="7"/>
  <c r="C1190" i="7"/>
  <c r="H1275" i="7"/>
  <c r="H1276" i="7"/>
  <c r="H1189" i="7"/>
  <c r="H1190" i="7"/>
  <c r="G1066" i="7"/>
  <c r="G1067" i="7"/>
  <c r="F1275" i="7"/>
  <c r="F1276" i="7"/>
  <c r="H1066" i="7"/>
  <c r="H1067" i="7"/>
  <c r="G1275" i="7"/>
  <c r="G1276" i="7"/>
  <c r="G1189" i="7"/>
  <c r="G1190" i="7"/>
  <c r="F1066" i="7"/>
  <c r="F1067" i="7"/>
  <c r="E1275" i="7"/>
  <c r="E1276" i="7"/>
  <c r="K1067" i="7"/>
  <c r="K1066" i="7"/>
  <c r="J1275" i="7"/>
  <c r="J1276" i="7"/>
  <c r="G974" i="7"/>
  <c r="G975" i="7"/>
  <c r="E974" i="7"/>
  <c r="E975" i="7"/>
  <c r="F974" i="7"/>
  <c r="F975" i="7"/>
  <c r="K974" i="7"/>
  <c r="K975" i="7"/>
  <c r="I974" i="7"/>
  <c r="I975" i="7"/>
  <c r="J974" i="7"/>
  <c r="J975" i="7"/>
  <c r="D974" i="7"/>
  <c r="D975" i="7"/>
  <c r="C974" i="7"/>
  <c r="C975" i="7"/>
  <c r="H974" i="7"/>
  <c r="H975" i="7"/>
  <c r="D666" i="7"/>
  <c r="D667" i="7"/>
  <c r="E666" i="7"/>
  <c r="E667" i="7"/>
  <c r="K673" i="7"/>
  <c r="K674" i="7"/>
  <c r="H673" i="7"/>
  <c r="H674" i="7"/>
  <c r="E673" i="7"/>
  <c r="E674" i="7"/>
  <c r="H666" i="7"/>
  <c r="H667" i="7"/>
  <c r="I666" i="7"/>
  <c r="I667" i="7"/>
  <c r="F666" i="7"/>
  <c r="F667" i="7"/>
  <c r="C666" i="7"/>
  <c r="C667" i="7"/>
  <c r="I673" i="7"/>
  <c r="I674" i="7"/>
  <c r="F673" i="7"/>
  <c r="F674" i="7"/>
  <c r="C673" i="7"/>
  <c r="C674" i="7"/>
  <c r="J666" i="7"/>
  <c r="J667" i="7"/>
  <c r="G666" i="7"/>
  <c r="G667" i="7"/>
  <c r="J673" i="7"/>
  <c r="J674" i="7"/>
  <c r="G673" i="7"/>
  <c r="G674" i="7"/>
  <c r="D673" i="7"/>
  <c r="D674" i="7"/>
  <c r="K666" i="7"/>
  <c r="K667" i="7"/>
  <c r="C303" i="7"/>
  <c r="C304" i="7"/>
  <c r="C296" i="7"/>
  <c r="C297" i="7"/>
  <c r="C1170" i="7"/>
  <c r="C1177" i="7" l="1"/>
  <c r="D1155" i="7"/>
  <c r="E1155" i="7"/>
  <c r="F1155" i="7"/>
  <c r="G1155" i="7"/>
  <c r="H1155" i="7"/>
  <c r="I1155" i="7"/>
  <c r="J1155" i="7"/>
  <c r="K1155" i="7"/>
  <c r="E1148" i="7" l="1"/>
  <c r="F1148" i="7"/>
  <c r="G1148" i="7"/>
  <c r="H1148" i="7"/>
  <c r="I1148" i="7"/>
  <c r="J1148" i="7"/>
  <c r="K1148" i="7"/>
  <c r="D1141" i="7"/>
  <c r="E1141" i="7"/>
  <c r="F1141" i="7"/>
  <c r="H1141" i="7"/>
  <c r="J1141" i="7"/>
  <c r="K1141" i="7"/>
  <c r="F1134" i="7"/>
  <c r="E1134" i="7"/>
  <c r="G1134" i="7"/>
  <c r="I1134" i="7"/>
  <c r="J1134" i="7"/>
  <c r="K1134" i="7"/>
  <c r="E1127" i="7"/>
  <c r="F1127" i="7"/>
  <c r="G1127" i="7"/>
  <c r="H1127" i="7"/>
  <c r="I1127" i="7"/>
  <c r="J1127" i="7"/>
  <c r="D1120" i="7"/>
  <c r="E1120" i="7"/>
  <c r="F1120" i="7"/>
  <c r="H1120" i="7"/>
  <c r="J1120" i="7"/>
  <c r="K1120" i="7"/>
  <c r="E1112" i="7"/>
  <c r="F1112" i="7"/>
  <c r="H1112" i="7"/>
  <c r="J1112" i="7"/>
  <c r="K1112" i="7"/>
  <c r="E1105" i="7"/>
  <c r="F1105" i="7"/>
  <c r="H1105" i="7"/>
  <c r="J1105" i="7"/>
  <c r="K1105" i="7"/>
  <c r="E1098" i="7"/>
  <c r="F1098" i="7"/>
  <c r="H1098" i="7"/>
  <c r="J1098" i="7"/>
  <c r="H1149" i="7" l="1"/>
  <c r="K1149" i="7"/>
  <c r="G1149" i="7"/>
  <c r="G1153" i="7" s="1"/>
  <c r="J1149" i="7"/>
  <c r="I1149" i="7"/>
  <c r="I1153" i="7" s="1"/>
  <c r="D1090" i="7"/>
  <c r="E1090" i="7"/>
  <c r="F1090" i="7"/>
  <c r="G1090" i="7"/>
  <c r="H1090" i="7"/>
  <c r="I1090" i="7"/>
  <c r="J1090" i="7"/>
  <c r="K1090" i="7"/>
  <c r="C1090" i="7"/>
  <c r="D1083" i="7"/>
  <c r="E1083" i="7"/>
  <c r="F1083" i="7"/>
  <c r="G1083" i="7"/>
  <c r="H1083" i="7"/>
  <c r="I1083" i="7"/>
  <c r="J1083" i="7"/>
  <c r="K1083" i="7"/>
  <c r="C1083" i="7"/>
  <c r="D1076" i="7"/>
  <c r="E1076" i="7"/>
  <c r="F1076" i="7"/>
  <c r="G1076" i="7"/>
  <c r="H1076" i="7"/>
  <c r="I1076" i="7"/>
  <c r="J1076" i="7"/>
  <c r="K1076" i="7"/>
  <c r="C1076" i="7"/>
  <c r="D1069" i="7"/>
  <c r="E1069" i="7"/>
  <c r="F1069" i="7"/>
  <c r="G1069" i="7"/>
  <c r="H1069" i="7"/>
  <c r="I1069" i="7"/>
  <c r="J1069" i="7"/>
  <c r="K1069" i="7"/>
  <c r="C1069" i="7"/>
  <c r="D1055" i="7"/>
  <c r="E1055" i="7"/>
  <c r="F1055" i="7"/>
  <c r="G1055" i="7"/>
  <c r="H1055" i="7"/>
  <c r="I1055" i="7"/>
  <c r="J1055" i="7"/>
  <c r="K1055" i="7"/>
  <c r="C1055" i="7"/>
  <c r="D1048" i="7"/>
  <c r="E1048" i="7"/>
  <c r="F1048" i="7"/>
  <c r="G1048" i="7"/>
  <c r="H1048" i="7"/>
  <c r="I1048" i="7"/>
  <c r="J1048" i="7"/>
  <c r="K1048" i="7"/>
  <c r="C1048" i="7"/>
  <c r="D1041" i="7"/>
  <c r="E1041" i="7"/>
  <c r="F1041" i="7"/>
  <c r="G1041" i="7"/>
  <c r="H1041" i="7"/>
  <c r="I1041" i="7"/>
  <c r="J1041" i="7"/>
  <c r="K1041" i="7"/>
  <c r="C1041" i="7"/>
  <c r="D1493" i="7" l="1"/>
  <c r="E1493" i="7"/>
  <c r="F1493" i="7"/>
  <c r="H1493" i="7"/>
  <c r="I1493" i="7"/>
  <c r="J1493" i="7"/>
  <c r="C1493" i="7"/>
  <c r="D1486" i="7"/>
  <c r="E1486" i="7"/>
  <c r="F1486" i="7"/>
  <c r="G1486" i="7"/>
  <c r="H1486" i="7"/>
  <c r="I1486" i="7"/>
  <c r="J1486" i="7"/>
  <c r="C1486" i="7"/>
  <c r="E1255" i="7"/>
  <c r="F1255" i="7"/>
  <c r="G1255" i="7"/>
  <c r="H1255" i="7"/>
  <c r="I1255" i="7"/>
  <c r="J1255" i="7"/>
  <c r="K1255" i="7"/>
  <c r="C1255" i="7"/>
  <c r="D1248" i="7"/>
  <c r="E1248" i="7"/>
  <c r="F1248" i="7"/>
  <c r="G1248" i="7"/>
  <c r="H1248" i="7"/>
  <c r="I1248" i="7"/>
  <c r="J1248" i="7"/>
  <c r="K1248" i="7"/>
  <c r="C1248" i="7"/>
  <c r="E1241" i="7"/>
  <c r="F1241" i="7"/>
  <c r="G1241" i="7"/>
  <c r="H1241" i="7"/>
  <c r="I1241" i="7"/>
  <c r="J1241" i="7"/>
  <c r="K1241" i="7"/>
  <c r="C1241" i="7"/>
  <c r="D1234" i="7"/>
  <c r="E1234" i="7"/>
  <c r="F1234" i="7"/>
  <c r="G1234" i="7"/>
  <c r="H1234" i="7"/>
  <c r="I1234" i="7"/>
  <c r="J1234" i="7"/>
  <c r="K1234" i="7"/>
  <c r="C1234" i="7"/>
  <c r="E1227" i="7"/>
  <c r="F1227" i="7"/>
  <c r="G1227" i="7"/>
  <c r="H1227" i="7"/>
  <c r="I1227" i="7"/>
  <c r="J1227" i="7"/>
  <c r="K1227" i="7"/>
  <c r="C1227" i="7"/>
  <c r="E1220" i="7"/>
  <c r="F1220" i="7"/>
  <c r="G1220" i="7"/>
  <c r="H1220" i="7"/>
  <c r="I1220" i="7"/>
  <c r="J1220" i="7"/>
  <c r="K1220" i="7"/>
  <c r="E1213" i="7"/>
  <c r="F1213" i="7"/>
  <c r="G1213" i="7"/>
  <c r="H1213" i="7"/>
  <c r="I1213" i="7"/>
  <c r="J1213" i="7"/>
  <c r="K1213" i="7"/>
  <c r="E1206" i="7"/>
  <c r="F1206" i="7"/>
  <c r="G1206" i="7"/>
  <c r="H1206" i="7"/>
  <c r="I1206" i="7"/>
  <c r="J1206" i="7"/>
  <c r="K1206" i="7"/>
  <c r="E1199" i="7"/>
  <c r="F1199" i="7"/>
  <c r="G1199" i="7"/>
  <c r="H1199" i="7"/>
  <c r="I1199" i="7"/>
  <c r="J1199" i="7"/>
  <c r="K1199" i="7"/>
  <c r="D1033" i="7"/>
  <c r="E1033" i="7"/>
  <c r="F1033" i="7"/>
  <c r="H1033" i="7"/>
  <c r="I1033" i="7"/>
  <c r="J1033" i="7"/>
  <c r="C1033" i="7"/>
  <c r="D1026" i="7"/>
  <c r="E1026" i="7"/>
  <c r="F1026" i="7"/>
  <c r="G1026" i="7"/>
  <c r="H1026" i="7"/>
  <c r="I1026" i="7"/>
  <c r="J1026" i="7"/>
  <c r="K1026" i="7"/>
  <c r="C1026" i="7"/>
  <c r="D1019" i="7"/>
  <c r="E1019" i="7"/>
  <c r="F1019" i="7"/>
  <c r="G1019" i="7"/>
  <c r="H1019" i="7"/>
  <c r="I1019" i="7"/>
  <c r="J1019" i="7"/>
  <c r="K1019" i="7"/>
  <c r="C1019" i="7"/>
  <c r="D1012" i="7" l="1"/>
  <c r="E1012" i="7"/>
  <c r="F1012" i="7"/>
  <c r="G1012" i="7"/>
  <c r="H1012" i="7"/>
  <c r="I1012" i="7"/>
  <c r="J1012" i="7"/>
  <c r="K1012" i="7"/>
  <c r="C1012" i="7"/>
  <c r="D1005" i="7"/>
  <c r="E1005" i="7"/>
  <c r="F1005" i="7"/>
  <c r="G1005" i="7"/>
  <c r="H1005" i="7"/>
  <c r="I1005" i="7"/>
  <c r="J1005" i="7"/>
  <c r="C1005" i="7"/>
  <c r="D998" i="7"/>
  <c r="E998" i="7"/>
  <c r="F998" i="7"/>
  <c r="G998" i="7"/>
  <c r="H998" i="7"/>
  <c r="I998" i="7"/>
  <c r="J998" i="7"/>
  <c r="C998" i="7"/>
  <c r="D991" i="7"/>
  <c r="E991" i="7"/>
  <c r="F991" i="7"/>
  <c r="G991" i="7"/>
  <c r="H991" i="7"/>
  <c r="I991" i="7"/>
  <c r="J991" i="7"/>
  <c r="K991" i="7"/>
  <c r="C991" i="7"/>
  <c r="D984" i="7"/>
  <c r="E984" i="7"/>
  <c r="F984" i="7"/>
  <c r="G984" i="7"/>
  <c r="H984" i="7"/>
  <c r="I984" i="7"/>
  <c r="J984" i="7"/>
  <c r="K984" i="7"/>
  <c r="C984" i="7"/>
  <c r="D977" i="7"/>
  <c r="E977" i="7"/>
  <c r="F977" i="7"/>
  <c r="G977" i="7"/>
  <c r="H977" i="7"/>
  <c r="I977" i="7"/>
  <c r="J977" i="7"/>
  <c r="K977" i="7"/>
  <c r="C977" i="7"/>
  <c r="D919" i="7"/>
  <c r="E919" i="7"/>
  <c r="F919" i="7"/>
  <c r="H919" i="7"/>
  <c r="I919" i="7"/>
  <c r="J919" i="7"/>
  <c r="D912" i="7"/>
  <c r="E912" i="7"/>
  <c r="F912" i="7"/>
  <c r="G912" i="7"/>
  <c r="H912" i="7"/>
  <c r="I912" i="7"/>
  <c r="J912" i="7"/>
  <c r="K912" i="7"/>
  <c r="C912" i="7"/>
  <c r="D905" i="7"/>
  <c r="E905" i="7"/>
  <c r="F905" i="7"/>
  <c r="G905" i="7"/>
  <c r="H905" i="7"/>
  <c r="I905" i="7"/>
  <c r="J905" i="7"/>
  <c r="K905" i="7"/>
  <c r="C905" i="7"/>
  <c r="D897" i="7"/>
  <c r="E897" i="7"/>
  <c r="F897" i="7"/>
  <c r="G897" i="7"/>
  <c r="H897" i="7"/>
  <c r="I897" i="7"/>
  <c r="J897" i="7"/>
  <c r="C897" i="7"/>
  <c r="D890" i="7"/>
  <c r="E890" i="7"/>
  <c r="F890" i="7"/>
  <c r="H890" i="7"/>
  <c r="I890" i="7"/>
  <c r="J890" i="7"/>
  <c r="C890" i="7"/>
  <c r="D883" i="7"/>
  <c r="E883" i="7"/>
  <c r="F883" i="7"/>
  <c r="G883" i="7"/>
  <c r="H883" i="7"/>
  <c r="I883" i="7"/>
  <c r="J883" i="7"/>
  <c r="K883" i="7"/>
  <c r="C883" i="7"/>
  <c r="D876" i="7"/>
  <c r="E876" i="7"/>
  <c r="F876" i="7"/>
  <c r="G876" i="7"/>
  <c r="H876" i="7"/>
  <c r="I876" i="7"/>
  <c r="J876" i="7"/>
  <c r="K876" i="7"/>
  <c r="C876" i="7"/>
  <c r="D869" i="7"/>
  <c r="E869" i="7"/>
  <c r="F869" i="7"/>
  <c r="G869" i="7"/>
  <c r="H869" i="7"/>
  <c r="I869" i="7"/>
  <c r="J869" i="7"/>
  <c r="K869" i="7"/>
  <c r="C869" i="7"/>
  <c r="D862" i="7"/>
  <c r="E862" i="7"/>
  <c r="F862" i="7"/>
  <c r="G862" i="7"/>
  <c r="H862" i="7"/>
  <c r="I862" i="7"/>
  <c r="J862" i="7"/>
  <c r="K862" i="7"/>
  <c r="C862" i="7"/>
  <c r="D855" i="7"/>
  <c r="E855" i="7"/>
  <c r="F855" i="7"/>
  <c r="G855" i="7"/>
  <c r="H855" i="7"/>
  <c r="I855" i="7"/>
  <c r="J855" i="7"/>
  <c r="C855" i="7"/>
  <c r="D848" i="7"/>
  <c r="E848" i="7"/>
  <c r="F848" i="7"/>
  <c r="G848" i="7"/>
  <c r="H848" i="7"/>
  <c r="I848" i="7"/>
  <c r="J848" i="7"/>
  <c r="C848" i="7"/>
  <c r="D841" i="7"/>
  <c r="E841" i="7"/>
  <c r="F841" i="7"/>
  <c r="G841" i="7"/>
  <c r="H841" i="7"/>
  <c r="I841" i="7"/>
  <c r="J841" i="7"/>
  <c r="K841" i="7"/>
  <c r="C841" i="7"/>
  <c r="D834" i="7"/>
  <c r="E834" i="7"/>
  <c r="F834" i="7"/>
  <c r="G834" i="7"/>
  <c r="H834" i="7"/>
  <c r="I834" i="7"/>
  <c r="J834" i="7"/>
  <c r="K834" i="7"/>
  <c r="C834" i="7"/>
  <c r="D827" i="7"/>
  <c r="E827" i="7"/>
  <c r="F827" i="7"/>
  <c r="G827" i="7"/>
  <c r="H827" i="7"/>
  <c r="I827" i="7"/>
  <c r="J827" i="7"/>
  <c r="C827" i="7"/>
  <c r="E812" i="7"/>
  <c r="D805" i="7"/>
  <c r="E805" i="7"/>
  <c r="F805" i="7"/>
  <c r="G805" i="7"/>
  <c r="H805" i="7"/>
  <c r="I805" i="7"/>
  <c r="J805" i="7"/>
  <c r="C805" i="7"/>
  <c r="D797" i="7"/>
  <c r="E797" i="7"/>
  <c r="F797" i="7"/>
  <c r="G797" i="7"/>
  <c r="H797" i="7"/>
  <c r="I797" i="7"/>
  <c r="J797" i="7"/>
  <c r="K797" i="7"/>
  <c r="C797" i="7"/>
  <c r="D790" i="7"/>
  <c r="E790" i="7"/>
  <c r="F790" i="7"/>
  <c r="G790" i="7"/>
  <c r="H790" i="7"/>
  <c r="I790" i="7"/>
  <c r="J790" i="7"/>
  <c r="C790" i="7"/>
  <c r="D782" i="7"/>
  <c r="E782" i="7"/>
  <c r="F782" i="7"/>
  <c r="H782" i="7"/>
  <c r="I782" i="7"/>
  <c r="J782" i="7"/>
  <c r="C782" i="7"/>
  <c r="D774" i="7"/>
  <c r="E774" i="7"/>
  <c r="F774" i="7"/>
  <c r="H774" i="7"/>
  <c r="I774" i="7"/>
  <c r="J774" i="7"/>
  <c r="C774" i="7"/>
  <c r="D767" i="7"/>
  <c r="E767" i="7"/>
  <c r="F767" i="7"/>
  <c r="G767" i="7"/>
  <c r="H767" i="7"/>
  <c r="I767" i="7"/>
  <c r="J767" i="7"/>
  <c r="K767" i="7"/>
  <c r="C767" i="7"/>
  <c r="D760" i="7"/>
  <c r="E760" i="7"/>
  <c r="F760" i="7"/>
  <c r="G760" i="7"/>
  <c r="H760" i="7"/>
  <c r="I760" i="7"/>
  <c r="J760" i="7"/>
  <c r="K760" i="7"/>
  <c r="C760" i="7"/>
  <c r="D753" i="7"/>
  <c r="E753" i="7"/>
  <c r="F753" i="7"/>
  <c r="G753" i="7"/>
  <c r="H753" i="7"/>
  <c r="I753" i="7"/>
  <c r="J753" i="7"/>
  <c r="K753" i="7"/>
  <c r="C753" i="7"/>
  <c r="D746" i="7"/>
  <c r="E746" i="7"/>
  <c r="F746" i="7"/>
  <c r="G746" i="7"/>
  <c r="H746" i="7"/>
  <c r="I746" i="7"/>
  <c r="J746" i="7"/>
  <c r="K746" i="7"/>
  <c r="C746" i="7"/>
  <c r="D739" i="7"/>
  <c r="E739" i="7"/>
  <c r="F739" i="7"/>
  <c r="G739" i="7"/>
  <c r="H739" i="7"/>
  <c r="I739" i="7"/>
  <c r="J739" i="7"/>
  <c r="K739" i="7"/>
  <c r="C739" i="7"/>
  <c r="D732" i="7"/>
  <c r="E732" i="7"/>
  <c r="F732" i="7"/>
  <c r="G732" i="7"/>
  <c r="H732" i="7"/>
  <c r="I732" i="7"/>
  <c r="J732" i="7"/>
  <c r="K732" i="7"/>
  <c r="D725" i="7"/>
  <c r="E725" i="7"/>
  <c r="F725" i="7"/>
  <c r="G725" i="7"/>
  <c r="H725" i="7"/>
  <c r="I725" i="7"/>
  <c r="J725" i="7"/>
  <c r="K725" i="7"/>
  <c r="C725" i="7"/>
  <c r="D718" i="7"/>
  <c r="E718" i="7"/>
  <c r="F718" i="7"/>
  <c r="G718" i="7"/>
  <c r="H718" i="7"/>
  <c r="I718" i="7"/>
  <c r="J718" i="7"/>
  <c r="C718" i="7"/>
  <c r="D704" i="7"/>
  <c r="E704" i="7"/>
  <c r="F704" i="7"/>
  <c r="G704" i="7"/>
  <c r="H704" i="7"/>
  <c r="I704" i="7"/>
  <c r="J704" i="7"/>
  <c r="K704" i="7"/>
  <c r="C704" i="7"/>
  <c r="D697" i="7"/>
  <c r="E697" i="7"/>
  <c r="F697" i="7"/>
  <c r="G697" i="7"/>
  <c r="H697" i="7"/>
  <c r="I697" i="7"/>
  <c r="J697" i="7"/>
  <c r="K697" i="7"/>
  <c r="C697" i="7"/>
  <c r="D683" i="7"/>
  <c r="E683" i="7"/>
  <c r="F683" i="7"/>
  <c r="G683" i="7"/>
  <c r="H683" i="7"/>
  <c r="I683" i="7"/>
  <c r="J683" i="7"/>
  <c r="K683" i="7"/>
  <c r="D690" i="7"/>
  <c r="E690" i="7"/>
  <c r="F690" i="7"/>
  <c r="G690" i="7"/>
  <c r="H690" i="7"/>
  <c r="I690" i="7"/>
  <c r="J690" i="7"/>
  <c r="K690" i="7"/>
  <c r="C690" i="7"/>
  <c r="C683" i="7"/>
  <c r="D676" i="7"/>
  <c r="E676" i="7"/>
  <c r="F676" i="7"/>
  <c r="G676" i="7"/>
  <c r="H676" i="7"/>
  <c r="I676" i="7"/>
  <c r="J676" i="7"/>
  <c r="K676" i="7"/>
  <c r="C676" i="7"/>
  <c r="D653" i="7"/>
  <c r="E653" i="7"/>
  <c r="F653" i="7"/>
  <c r="H653" i="7"/>
  <c r="I653" i="7"/>
  <c r="J653" i="7"/>
  <c r="C653" i="7"/>
  <c r="D646" i="7"/>
  <c r="E646" i="7"/>
  <c r="F646" i="7"/>
  <c r="G646" i="7"/>
  <c r="H646" i="7"/>
  <c r="I646" i="7"/>
  <c r="J646" i="7"/>
  <c r="K646" i="7"/>
  <c r="C646" i="7"/>
  <c r="D639" i="7"/>
  <c r="E639" i="7"/>
  <c r="F639" i="7"/>
  <c r="G639" i="7"/>
  <c r="H639" i="7"/>
  <c r="I639" i="7"/>
  <c r="J639" i="7"/>
  <c r="K639" i="7"/>
  <c r="C639" i="7"/>
  <c r="D632" i="7"/>
  <c r="E632" i="7"/>
  <c r="F632" i="7"/>
  <c r="G632" i="7"/>
  <c r="H632" i="7"/>
  <c r="I632" i="7"/>
  <c r="J632" i="7"/>
  <c r="K632" i="7"/>
  <c r="C632" i="7"/>
  <c r="D625" i="7"/>
  <c r="E625" i="7"/>
  <c r="F625" i="7"/>
  <c r="G625" i="7"/>
  <c r="H625" i="7"/>
  <c r="I625" i="7"/>
  <c r="J625" i="7"/>
  <c r="K625" i="7"/>
  <c r="C625" i="7"/>
  <c r="D618" i="7"/>
  <c r="E618" i="7"/>
  <c r="F618" i="7"/>
  <c r="G618" i="7"/>
  <c r="H618" i="7"/>
  <c r="I618" i="7"/>
  <c r="J618" i="7"/>
  <c r="K618" i="7"/>
  <c r="C618" i="7"/>
  <c r="D611" i="7"/>
  <c r="E611" i="7"/>
  <c r="F611" i="7"/>
  <c r="G611" i="7"/>
  <c r="H611" i="7"/>
  <c r="I611" i="7"/>
  <c r="J611" i="7"/>
  <c r="K611" i="7"/>
  <c r="C611" i="7"/>
  <c r="D604" i="7"/>
  <c r="E604" i="7"/>
  <c r="F604" i="7"/>
  <c r="G604" i="7"/>
  <c r="H604" i="7"/>
  <c r="I604" i="7"/>
  <c r="J604" i="7"/>
  <c r="C604" i="7"/>
  <c r="D596" i="7"/>
  <c r="E596" i="7"/>
  <c r="F596" i="7"/>
  <c r="G596" i="7"/>
  <c r="H596" i="7"/>
  <c r="I596" i="7"/>
  <c r="J596" i="7"/>
  <c r="D589" i="7"/>
  <c r="E589" i="7"/>
  <c r="F589" i="7"/>
  <c r="H589" i="7"/>
  <c r="I589" i="7"/>
  <c r="J589" i="7"/>
  <c r="C589" i="7"/>
  <c r="D582" i="7"/>
  <c r="E582" i="7"/>
  <c r="F582" i="7"/>
  <c r="G582" i="7"/>
  <c r="H582" i="7"/>
  <c r="I582" i="7"/>
  <c r="J582" i="7"/>
  <c r="K582" i="7"/>
  <c r="C582" i="7"/>
  <c r="D575" i="7"/>
  <c r="E575" i="7"/>
  <c r="F575" i="7"/>
  <c r="G575" i="7"/>
  <c r="H575" i="7"/>
  <c r="I575" i="7"/>
  <c r="J575" i="7"/>
  <c r="K575" i="7"/>
  <c r="D568" i="7"/>
  <c r="E568" i="7"/>
  <c r="F568" i="7"/>
  <c r="G568" i="7"/>
  <c r="H568" i="7"/>
  <c r="I568" i="7"/>
  <c r="J568" i="7"/>
  <c r="K568" i="7"/>
  <c r="C568" i="7"/>
  <c r="D561" i="7"/>
  <c r="E561" i="7"/>
  <c r="F561" i="7"/>
  <c r="G561" i="7"/>
  <c r="H561" i="7"/>
  <c r="I561" i="7"/>
  <c r="J561" i="7"/>
  <c r="K561" i="7"/>
  <c r="C561" i="7"/>
  <c r="D554" i="7"/>
  <c r="E554" i="7"/>
  <c r="F554" i="7"/>
  <c r="G554" i="7"/>
  <c r="H554" i="7"/>
  <c r="I554" i="7"/>
  <c r="J554" i="7"/>
  <c r="K554" i="7"/>
  <c r="C554" i="7"/>
  <c r="D547" i="7"/>
  <c r="E547" i="7"/>
  <c r="F547" i="7"/>
  <c r="G547" i="7"/>
  <c r="H547" i="7"/>
  <c r="I547" i="7"/>
  <c r="J547" i="7"/>
  <c r="C547" i="7"/>
  <c r="D540" i="7"/>
  <c r="E540" i="7"/>
  <c r="F540" i="7"/>
  <c r="G540" i="7"/>
  <c r="H540" i="7"/>
  <c r="I540" i="7"/>
  <c r="J540" i="7"/>
  <c r="K540" i="7"/>
  <c r="C540" i="7"/>
  <c r="D533" i="7"/>
  <c r="E533" i="7"/>
  <c r="F533" i="7"/>
  <c r="G533" i="7"/>
  <c r="H533" i="7"/>
  <c r="I533" i="7"/>
  <c r="J533" i="7"/>
  <c r="K533" i="7"/>
  <c r="C533" i="7"/>
  <c r="D526" i="7"/>
  <c r="E526" i="7"/>
  <c r="F526" i="7"/>
  <c r="G526" i="7"/>
  <c r="H526" i="7"/>
  <c r="I526" i="7"/>
  <c r="J526" i="7"/>
  <c r="K526" i="7"/>
  <c r="C526" i="7"/>
  <c r="D519" i="7"/>
  <c r="E519" i="7"/>
  <c r="F519" i="7"/>
  <c r="G519" i="7"/>
  <c r="H519" i="7"/>
  <c r="I519" i="7"/>
  <c r="J519" i="7"/>
  <c r="K519" i="7"/>
  <c r="C519" i="7"/>
  <c r="D512" i="7"/>
  <c r="E512" i="7"/>
  <c r="F512" i="7"/>
  <c r="G512" i="7"/>
  <c r="H512" i="7"/>
  <c r="I512" i="7"/>
  <c r="J512" i="7"/>
  <c r="K512" i="7"/>
  <c r="C512" i="7"/>
  <c r="D498" i="7"/>
  <c r="E498" i="7"/>
  <c r="F498" i="7"/>
  <c r="G498" i="7"/>
  <c r="H498" i="7"/>
  <c r="I498" i="7"/>
  <c r="J498" i="7"/>
  <c r="C498" i="7"/>
  <c r="D490" i="7"/>
  <c r="E490" i="7"/>
  <c r="F490" i="7"/>
  <c r="G490" i="7"/>
  <c r="H490" i="7"/>
  <c r="I490" i="7"/>
  <c r="J490" i="7"/>
  <c r="K490" i="7"/>
  <c r="C490" i="7"/>
  <c r="D483" i="7"/>
  <c r="E483" i="7"/>
  <c r="F483" i="7"/>
  <c r="G483" i="7"/>
  <c r="H483" i="7"/>
  <c r="I483" i="7"/>
  <c r="J483" i="7"/>
  <c r="K483" i="7"/>
  <c r="C483" i="7"/>
  <c r="D476" i="7"/>
  <c r="E476" i="7"/>
  <c r="F476" i="7"/>
  <c r="G476" i="7"/>
  <c r="H476" i="7"/>
  <c r="I476" i="7"/>
  <c r="J476" i="7"/>
  <c r="K476" i="7"/>
  <c r="C476" i="7"/>
  <c r="D469" i="7"/>
  <c r="E469" i="7"/>
  <c r="F469" i="7"/>
  <c r="G469" i="7"/>
  <c r="H469" i="7"/>
  <c r="I469" i="7"/>
  <c r="J469" i="7"/>
  <c r="K469" i="7"/>
  <c r="C469" i="7"/>
  <c r="D462" i="7"/>
  <c r="E462" i="7"/>
  <c r="F462" i="7"/>
  <c r="H462" i="7"/>
  <c r="I462" i="7"/>
  <c r="J462" i="7"/>
  <c r="C462" i="7"/>
  <c r="D448" i="7" l="1"/>
  <c r="E448" i="7"/>
  <c r="F448" i="7"/>
  <c r="G448" i="7"/>
  <c r="H448" i="7"/>
  <c r="I448" i="7"/>
  <c r="J448" i="7"/>
  <c r="K448" i="7"/>
  <c r="C448" i="7"/>
  <c r="D441" i="7"/>
  <c r="E441" i="7"/>
  <c r="F441" i="7"/>
  <c r="G441" i="7"/>
  <c r="H441" i="7"/>
  <c r="I441" i="7"/>
  <c r="J441" i="7"/>
  <c r="K441" i="7"/>
  <c r="C441" i="7"/>
  <c r="D434" i="7"/>
  <c r="E434" i="7"/>
  <c r="F434" i="7"/>
  <c r="G434" i="7"/>
  <c r="H434" i="7"/>
  <c r="I434" i="7"/>
  <c r="J434" i="7"/>
  <c r="C434" i="7"/>
  <c r="D427" i="7"/>
  <c r="E427" i="7"/>
  <c r="F427" i="7"/>
  <c r="G427" i="7"/>
  <c r="H427" i="7"/>
  <c r="I427" i="7"/>
  <c r="J427" i="7"/>
  <c r="C427" i="7"/>
  <c r="D419" i="7"/>
  <c r="E419" i="7"/>
  <c r="F419" i="7"/>
  <c r="G419" i="7"/>
  <c r="H419" i="7"/>
  <c r="I419" i="7"/>
  <c r="J419" i="7"/>
  <c r="C419" i="7"/>
  <c r="D412" i="7"/>
  <c r="E412" i="7"/>
  <c r="F412" i="7"/>
  <c r="H412" i="7"/>
  <c r="I412" i="7"/>
  <c r="J412" i="7"/>
  <c r="C412" i="7"/>
  <c r="D405" i="7"/>
  <c r="E405" i="7"/>
  <c r="F405" i="7"/>
  <c r="H405" i="7"/>
  <c r="I405" i="7"/>
  <c r="J405" i="7"/>
  <c r="C405" i="7"/>
  <c r="D391" i="7"/>
  <c r="E391" i="7"/>
  <c r="F391" i="7"/>
  <c r="G391" i="7"/>
  <c r="H391" i="7"/>
  <c r="I391" i="7"/>
  <c r="J391" i="7"/>
  <c r="K391" i="7"/>
  <c r="C391" i="7"/>
  <c r="D384" i="7"/>
  <c r="E384" i="7"/>
  <c r="F384" i="7"/>
  <c r="G384" i="7"/>
  <c r="H384" i="7"/>
  <c r="I384" i="7"/>
  <c r="J384" i="7"/>
  <c r="K384" i="7"/>
  <c r="C384" i="7"/>
  <c r="D377" i="7"/>
  <c r="E377" i="7"/>
  <c r="F377" i="7"/>
  <c r="G377" i="7"/>
  <c r="H377" i="7"/>
  <c r="I377" i="7"/>
  <c r="J377" i="7"/>
  <c r="K377" i="7"/>
  <c r="C377" i="7"/>
  <c r="D370" i="7"/>
  <c r="E370" i="7"/>
  <c r="F370" i="7"/>
  <c r="G370" i="7"/>
  <c r="H370" i="7"/>
  <c r="I370" i="7"/>
  <c r="J370" i="7"/>
  <c r="C370" i="7"/>
  <c r="D363" i="7"/>
  <c r="E363" i="7"/>
  <c r="F363" i="7"/>
  <c r="H363" i="7"/>
  <c r="I363" i="7"/>
  <c r="J363" i="7"/>
  <c r="C363" i="7"/>
  <c r="D356" i="7"/>
  <c r="E356" i="7"/>
  <c r="F356" i="7"/>
  <c r="G356" i="7"/>
  <c r="H356" i="7"/>
  <c r="I356" i="7"/>
  <c r="J356" i="7"/>
  <c r="K356" i="7"/>
  <c r="C356" i="7"/>
  <c r="D349" i="7"/>
  <c r="E349" i="7"/>
  <c r="F349" i="7"/>
  <c r="G349" i="7"/>
  <c r="H349" i="7"/>
  <c r="I349" i="7"/>
  <c r="J349" i="7"/>
  <c r="K349" i="7"/>
  <c r="C349" i="7"/>
  <c r="D342" i="7"/>
  <c r="E342" i="7"/>
  <c r="F342" i="7"/>
  <c r="G342" i="7"/>
  <c r="H342" i="7"/>
  <c r="I342" i="7"/>
  <c r="J342" i="7"/>
  <c r="K342" i="7"/>
  <c r="C342" i="7"/>
  <c r="D335" i="7"/>
  <c r="E335" i="7"/>
  <c r="F335" i="7"/>
  <c r="G335" i="7"/>
  <c r="H335" i="7"/>
  <c r="I335" i="7"/>
  <c r="J335" i="7"/>
  <c r="K335" i="7"/>
  <c r="C335" i="7"/>
  <c r="D328" i="7"/>
  <c r="E328" i="7"/>
  <c r="F328" i="7"/>
  <c r="G328" i="7"/>
  <c r="H328" i="7"/>
  <c r="I328" i="7"/>
  <c r="J328" i="7"/>
  <c r="K328" i="7"/>
  <c r="C328" i="7"/>
  <c r="D321" i="7"/>
  <c r="E321" i="7"/>
  <c r="F321" i="7"/>
  <c r="G321" i="7"/>
  <c r="H321" i="7"/>
  <c r="I321" i="7"/>
  <c r="J321" i="7"/>
  <c r="K321" i="7"/>
  <c r="C321" i="7"/>
  <c r="D314" i="7"/>
  <c r="E314" i="7"/>
  <c r="F314" i="7"/>
  <c r="G314" i="7"/>
  <c r="H314" i="7"/>
  <c r="I314" i="7"/>
  <c r="J314" i="7"/>
  <c r="C314" i="7"/>
  <c r="D306" i="7"/>
  <c r="E306" i="7"/>
  <c r="F306" i="7"/>
  <c r="H306" i="7"/>
  <c r="I306" i="7"/>
  <c r="J306" i="7"/>
  <c r="D299" i="7"/>
  <c r="E299" i="7"/>
  <c r="F299" i="7"/>
  <c r="G299" i="7"/>
  <c r="H299" i="7"/>
  <c r="I299" i="7"/>
  <c r="J299" i="7"/>
  <c r="K299" i="7"/>
  <c r="D292" i="7"/>
  <c r="E292" i="7"/>
  <c r="F292" i="7"/>
  <c r="G292" i="7"/>
  <c r="H292" i="7"/>
  <c r="I292" i="7"/>
  <c r="J292" i="7"/>
  <c r="K292" i="7"/>
  <c r="D285" i="7"/>
  <c r="E285" i="7"/>
  <c r="F285" i="7"/>
  <c r="G285" i="7"/>
  <c r="H285" i="7"/>
  <c r="I285" i="7"/>
  <c r="J285" i="7"/>
  <c r="K285" i="7"/>
  <c r="C285" i="7"/>
  <c r="D278" i="7"/>
  <c r="E278" i="7"/>
  <c r="F278" i="7"/>
  <c r="G278" i="7"/>
  <c r="H278" i="7"/>
  <c r="I278" i="7"/>
  <c r="J278" i="7"/>
  <c r="K278" i="7"/>
  <c r="C278" i="7"/>
  <c r="D264" i="7"/>
  <c r="E264" i="7"/>
  <c r="F264" i="7"/>
  <c r="G264" i="7"/>
  <c r="H264" i="7"/>
  <c r="I264" i="7"/>
  <c r="J264" i="7"/>
  <c r="K264" i="7"/>
  <c r="C264" i="7"/>
  <c r="D257" i="7"/>
  <c r="E257" i="7"/>
  <c r="F257" i="7"/>
  <c r="G257" i="7"/>
  <c r="H257" i="7"/>
  <c r="I257" i="7"/>
  <c r="J257" i="7"/>
  <c r="C257" i="7"/>
  <c r="D250" i="7"/>
  <c r="E250" i="7"/>
  <c r="F250" i="7"/>
  <c r="H250" i="7"/>
  <c r="I250" i="7"/>
  <c r="J250" i="7"/>
  <c r="C250" i="7"/>
  <c r="D243" i="7"/>
  <c r="E243" i="7"/>
  <c r="F243" i="7"/>
  <c r="G243" i="7"/>
  <c r="H243" i="7"/>
  <c r="I243" i="7"/>
  <c r="J243" i="7"/>
  <c r="K243" i="7"/>
  <c r="C243" i="7"/>
  <c r="D236" i="7"/>
  <c r="E236" i="7"/>
  <c r="F236" i="7"/>
  <c r="G236" i="7"/>
  <c r="H236" i="7"/>
  <c r="I236" i="7"/>
  <c r="J236" i="7"/>
  <c r="K236" i="7"/>
  <c r="C236" i="7"/>
  <c r="D229" i="7"/>
  <c r="E229" i="7"/>
  <c r="F229" i="7"/>
  <c r="G229" i="7"/>
  <c r="H229" i="7"/>
  <c r="I229" i="7"/>
  <c r="J229" i="7"/>
  <c r="K229" i="7"/>
  <c r="C229" i="7"/>
  <c r="D208" i="7"/>
  <c r="E208" i="7"/>
  <c r="F208" i="7"/>
  <c r="G208" i="7"/>
  <c r="H208" i="7"/>
  <c r="I208" i="7"/>
  <c r="J208" i="7"/>
  <c r="C208" i="7"/>
  <c r="D215" i="7"/>
  <c r="E215" i="7"/>
  <c r="F215" i="7"/>
  <c r="G215" i="7"/>
  <c r="H215" i="7"/>
  <c r="I215" i="7"/>
  <c r="J215" i="7"/>
  <c r="K215" i="7"/>
  <c r="C215" i="7"/>
  <c r="D222" i="7"/>
  <c r="E222" i="7"/>
  <c r="F222" i="7"/>
  <c r="G222" i="7"/>
  <c r="H222" i="7"/>
  <c r="I222" i="7"/>
  <c r="J222" i="7"/>
  <c r="K222" i="7"/>
  <c r="C222" i="7"/>
  <c r="D194" i="7"/>
  <c r="E194" i="7"/>
  <c r="F194" i="7"/>
  <c r="G194" i="7"/>
  <c r="H194" i="7"/>
  <c r="I194" i="7"/>
  <c r="J194" i="7"/>
  <c r="K194" i="7"/>
  <c r="C194" i="7"/>
  <c r="D18" i="7"/>
  <c r="E18" i="7"/>
  <c r="F18" i="7"/>
  <c r="G18" i="7"/>
  <c r="H18" i="7"/>
  <c r="I18" i="7"/>
  <c r="J18" i="7"/>
  <c r="K18" i="7"/>
  <c r="C18" i="7"/>
  <c r="D11" i="7"/>
  <c r="E11" i="7"/>
  <c r="F11" i="7"/>
  <c r="G11" i="7"/>
  <c r="H11" i="7"/>
  <c r="J11" i="7"/>
  <c r="K11" i="7"/>
  <c r="C11" i="7"/>
  <c r="D25" i="7"/>
  <c r="E25" i="7"/>
  <c r="F25" i="7"/>
  <c r="G25" i="7"/>
  <c r="H25" i="7"/>
  <c r="I25" i="7"/>
  <c r="J25" i="7"/>
  <c r="K25" i="7"/>
  <c r="C25" i="7"/>
  <c r="D32" i="7"/>
  <c r="E32" i="7"/>
  <c r="F32" i="7"/>
  <c r="G32" i="7"/>
  <c r="H32" i="7"/>
  <c r="I32" i="7"/>
  <c r="J32" i="7"/>
  <c r="K32" i="7"/>
  <c r="L32" i="7"/>
  <c r="C32" i="7"/>
  <c r="D39" i="7"/>
  <c r="E39" i="7"/>
  <c r="F39" i="7"/>
  <c r="G39" i="7"/>
  <c r="H39" i="7"/>
  <c r="I39" i="7"/>
  <c r="J39" i="7"/>
  <c r="K39" i="7"/>
  <c r="L39" i="7"/>
  <c r="C39" i="7"/>
  <c r="D46" i="7"/>
  <c r="D47" i="7" s="1"/>
  <c r="E46" i="7"/>
  <c r="E47" i="7" s="1"/>
  <c r="F46" i="7"/>
  <c r="F47" i="7" s="1"/>
  <c r="G46" i="7"/>
  <c r="G47" i="7" s="1"/>
  <c r="H46" i="7"/>
  <c r="H47" i="7" s="1"/>
  <c r="I46" i="7"/>
  <c r="I47" i="7" s="1"/>
  <c r="J46" i="7"/>
  <c r="J47" i="7" s="1"/>
  <c r="K46" i="7"/>
  <c r="K47" i="7" s="1"/>
  <c r="L46" i="7"/>
  <c r="L47" i="7" s="1"/>
  <c r="C46" i="7"/>
  <c r="D53" i="7"/>
  <c r="E53" i="7"/>
  <c r="F53" i="7"/>
  <c r="G53" i="7"/>
  <c r="H53" i="7"/>
  <c r="I53" i="7"/>
  <c r="J53" i="7"/>
  <c r="D67" i="7"/>
  <c r="E67" i="7"/>
  <c r="F67" i="7"/>
  <c r="G67" i="7"/>
  <c r="H67" i="7"/>
  <c r="I67" i="7"/>
  <c r="J67" i="7"/>
  <c r="K67" i="7"/>
  <c r="D74" i="7"/>
  <c r="E74" i="7"/>
  <c r="F74" i="7"/>
  <c r="G74" i="7"/>
  <c r="H74" i="7"/>
  <c r="I74" i="7"/>
  <c r="J74" i="7"/>
  <c r="K74" i="7"/>
  <c r="D81" i="7"/>
  <c r="E81" i="7"/>
  <c r="F81" i="7"/>
  <c r="G81" i="7"/>
  <c r="H81" i="7"/>
  <c r="I81" i="7"/>
  <c r="J81" i="7"/>
  <c r="K81" i="7"/>
  <c r="D88" i="7"/>
  <c r="E88" i="7"/>
  <c r="F88" i="7"/>
  <c r="G88" i="7"/>
  <c r="H88" i="7"/>
  <c r="I88" i="7"/>
  <c r="J88" i="7"/>
  <c r="K88" i="7"/>
  <c r="D95" i="7"/>
  <c r="E95" i="7"/>
  <c r="F95" i="7"/>
  <c r="G95" i="7"/>
  <c r="H95" i="7"/>
  <c r="I95" i="7"/>
  <c r="J95" i="7"/>
  <c r="K95" i="7"/>
  <c r="D109" i="7"/>
  <c r="E109" i="7"/>
  <c r="F109" i="7"/>
  <c r="G109" i="7"/>
  <c r="H109" i="7"/>
  <c r="I109" i="7"/>
  <c r="J109" i="7"/>
  <c r="K109" i="7"/>
  <c r="L109" i="7"/>
  <c r="D116" i="7"/>
  <c r="E116" i="7"/>
  <c r="F116" i="7"/>
  <c r="G116" i="7"/>
  <c r="H116" i="7"/>
  <c r="I116" i="7"/>
  <c r="J116" i="7"/>
  <c r="C116" i="7"/>
  <c r="D123" i="7"/>
  <c r="E123" i="7"/>
  <c r="F123" i="7"/>
  <c r="G123" i="7"/>
  <c r="H123" i="7"/>
  <c r="I123" i="7"/>
  <c r="J123" i="7"/>
  <c r="C123" i="7"/>
  <c r="D130" i="7"/>
  <c r="E130" i="7"/>
  <c r="F130" i="7"/>
  <c r="G130" i="7"/>
  <c r="H130" i="7"/>
  <c r="I130" i="7"/>
  <c r="J130" i="7"/>
  <c r="K130" i="7"/>
  <c r="C130" i="7"/>
  <c r="D137" i="7"/>
  <c r="E137" i="7"/>
  <c r="F137" i="7"/>
  <c r="G137" i="7"/>
  <c r="H137" i="7"/>
  <c r="I137" i="7"/>
  <c r="J137" i="7"/>
  <c r="K137" i="7"/>
  <c r="C137" i="7"/>
  <c r="D186" i="7"/>
  <c r="E186" i="7"/>
  <c r="F186" i="7"/>
  <c r="G186" i="7"/>
  <c r="H186" i="7"/>
  <c r="I186" i="7"/>
  <c r="J186" i="7"/>
  <c r="C186" i="7"/>
  <c r="D179" i="7"/>
  <c r="E179" i="7"/>
  <c r="F179" i="7"/>
  <c r="G179" i="7"/>
  <c r="H179" i="7"/>
  <c r="I179" i="7"/>
  <c r="J179" i="7"/>
  <c r="C179" i="7"/>
  <c r="D172" i="7"/>
  <c r="E172" i="7"/>
  <c r="F172" i="7"/>
  <c r="G172" i="7"/>
  <c r="H172" i="7"/>
  <c r="I172" i="7"/>
  <c r="J172" i="7"/>
  <c r="C172" i="7"/>
  <c r="D165" i="7"/>
  <c r="E165" i="7"/>
  <c r="F165" i="7"/>
  <c r="G165" i="7"/>
  <c r="H165" i="7"/>
  <c r="I165" i="7"/>
  <c r="J165" i="7"/>
  <c r="K165" i="7"/>
  <c r="C165" i="7"/>
  <c r="D158" i="7"/>
  <c r="E158" i="7"/>
  <c r="F158" i="7"/>
  <c r="G158" i="7"/>
  <c r="H158" i="7"/>
  <c r="I158" i="7"/>
  <c r="J158" i="7"/>
  <c r="K158" i="7"/>
  <c r="C158" i="7"/>
  <c r="D151" i="7"/>
  <c r="E151" i="7"/>
  <c r="F151" i="7"/>
  <c r="G151" i="7"/>
  <c r="H151" i="7"/>
  <c r="I151" i="7"/>
  <c r="J151" i="7"/>
  <c r="K151" i="7"/>
  <c r="C151" i="7"/>
  <c r="D144" i="7"/>
  <c r="E144" i="7"/>
  <c r="F144" i="7"/>
  <c r="G144" i="7"/>
  <c r="H144" i="7"/>
  <c r="I144" i="7"/>
  <c r="J144" i="7"/>
  <c r="K144" i="7"/>
  <c r="C144" i="7"/>
  <c r="C244" i="7" l="1"/>
  <c r="C55" i="7"/>
  <c r="C56" i="7" l="1"/>
  <c r="C57" i="7" s="1"/>
  <c r="J1481" i="7" l="1"/>
  <c r="F1481" i="7"/>
  <c r="E1481" i="7"/>
  <c r="J1474" i="7"/>
  <c r="I1474" i="7"/>
  <c r="E1474" i="7"/>
  <c r="D1474" i="7"/>
  <c r="I1467" i="7"/>
  <c r="H1467" i="7"/>
  <c r="E1467" i="7"/>
  <c r="D1467" i="7"/>
  <c r="J1460" i="7"/>
  <c r="I1460" i="7"/>
  <c r="F1460" i="7"/>
  <c r="E1460" i="7"/>
  <c r="K1453" i="7"/>
  <c r="J1453" i="7"/>
  <c r="H1453" i="7"/>
  <c r="G1453" i="7"/>
  <c r="F1453" i="7"/>
  <c r="D1453" i="7"/>
  <c r="C1453" i="7"/>
  <c r="J1446" i="7"/>
  <c r="I1446" i="7"/>
  <c r="H1446" i="7"/>
  <c r="F1446" i="7"/>
  <c r="E1446" i="7"/>
  <c r="D1446" i="7"/>
  <c r="J1439" i="7"/>
  <c r="H1439" i="7"/>
  <c r="G1439" i="7"/>
  <c r="F1439" i="7"/>
  <c r="D1439" i="7"/>
  <c r="C1439" i="7"/>
  <c r="K1432" i="7"/>
  <c r="I1432" i="7"/>
  <c r="H1432" i="7"/>
  <c r="G1432" i="7"/>
  <c r="E1432" i="7"/>
  <c r="D1432" i="7"/>
  <c r="C1432" i="7"/>
  <c r="C1433" i="7" s="1"/>
  <c r="F1496" i="7"/>
  <c r="C54" i="7"/>
  <c r="C58" i="7" s="1"/>
  <c r="E1295" i="7"/>
  <c r="I1288" i="7"/>
  <c r="E1288" i="7"/>
  <c r="I1281" i="7"/>
  <c r="E1281" i="7"/>
  <c r="I1266" i="7"/>
  <c r="D1266" i="7"/>
  <c r="I1258" i="7"/>
  <c r="E1258" i="7"/>
  <c r="J1244" i="7"/>
  <c r="F1244" i="7"/>
  <c r="K1237" i="7"/>
  <c r="G1237" i="7"/>
  <c r="C1237" i="7"/>
  <c r="H1230" i="7"/>
  <c r="D1230" i="7"/>
  <c r="I1223" i="7"/>
  <c r="E1223" i="7"/>
  <c r="J1216" i="7"/>
  <c r="F1216" i="7"/>
  <c r="K1209" i="7"/>
  <c r="G1209" i="7"/>
  <c r="C1209" i="7"/>
  <c r="H1202" i="7"/>
  <c r="D1202" i="7"/>
  <c r="C1460" i="7" l="1"/>
  <c r="G1460" i="7"/>
  <c r="K1460" i="7"/>
  <c r="F1467" i="7"/>
  <c r="J1467" i="7"/>
  <c r="F1474" i="7"/>
  <c r="C1481" i="7"/>
  <c r="H1481" i="7"/>
  <c r="F1432" i="7"/>
  <c r="J1432" i="7"/>
  <c r="E1439" i="7"/>
  <c r="I1439" i="7"/>
  <c r="C1446" i="7"/>
  <c r="G1446" i="7"/>
  <c r="K1446" i="7"/>
  <c r="E1453" i="7"/>
  <c r="I1453" i="7"/>
  <c r="D1460" i="7"/>
  <c r="H1460" i="7"/>
  <c r="C1467" i="7"/>
  <c r="G1467" i="7"/>
  <c r="C1474" i="7"/>
  <c r="H1474" i="7"/>
  <c r="D1481" i="7"/>
  <c r="I1481" i="7"/>
  <c r="I1310" i="7"/>
  <c r="J1317" i="7"/>
  <c r="C1331" i="7"/>
  <c r="C1489" i="7"/>
  <c r="G1489" i="7"/>
  <c r="C1496" i="7"/>
  <c r="H1496" i="7"/>
  <c r="F1202" i="7"/>
  <c r="E1209" i="7"/>
  <c r="D1216" i="7"/>
  <c r="C1223" i="7"/>
  <c r="K1223" i="7"/>
  <c r="J1230" i="7"/>
  <c r="I1237" i="7"/>
  <c r="H1244" i="7"/>
  <c r="G1258" i="7"/>
  <c r="F1266" i="7"/>
  <c r="G1281" i="7"/>
  <c r="G1288" i="7"/>
  <c r="H1295" i="7"/>
  <c r="D1302" i="7"/>
  <c r="K1310" i="7"/>
  <c r="D1324" i="7"/>
  <c r="E1331" i="7"/>
  <c r="D1489" i="7"/>
  <c r="H1489" i="7"/>
  <c r="D1496" i="7"/>
  <c r="I1496" i="7"/>
  <c r="J1295" i="7"/>
  <c r="H1302" i="7"/>
  <c r="C1310" i="7"/>
  <c r="F1317" i="7"/>
  <c r="F1324" i="7"/>
  <c r="G1331" i="7"/>
  <c r="E1489" i="7"/>
  <c r="I1489" i="7"/>
  <c r="E1496" i="7"/>
  <c r="J1496" i="7"/>
  <c r="J1202" i="7"/>
  <c r="I1209" i="7"/>
  <c r="H1216" i="7"/>
  <c r="G1223" i="7"/>
  <c r="F1230" i="7"/>
  <c r="E1237" i="7"/>
  <c r="D1244" i="7"/>
  <c r="C1258" i="7"/>
  <c r="K1258" i="7"/>
  <c r="C1281" i="7"/>
  <c r="C1288" i="7"/>
  <c r="C1295" i="7"/>
  <c r="J1302" i="7"/>
  <c r="G1310" i="7"/>
  <c r="H1317" i="7"/>
  <c r="H1324" i="7"/>
  <c r="K1331" i="7"/>
  <c r="F1489" i="7"/>
  <c r="J1489" i="7"/>
  <c r="F1302" i="7"/>
  <c r="F1424" i="7"/>
  <c r="K1417" i="7"/>
  <c r="G1417" i="7"/>
  <c r="C1417" i="7"/>
  <c r="H1410" i="7"/>
  <c r="D1410" i="7"/>
  <c r="I1403" i="7"/>
  <c r="E1403" i="7"/>
  <c r="J1396" i="7"/>
  <c r="F1396" i="7"/>
  <c r="K1389" i="7"/>
  <c r="G1389" i="7"/>
  <c r="C1389" i="7"/>
  <c r="H1382" i="7"/>
  <c r="D1382" i="7"/>
  <c r="H1366" i="7"/>
  <c r="C1366" i="7"/>
  <c r="F1359" i="7"/>
  <c r="K1345" i="7"/>
  <c r="G1345" i="7"/>
  <c r="C1345" i="7"/>
  <c r="G1338" i="7"/>
  <c r="C1338" i="7"/>
  <c r="H1331" i="7"/>
  <c r="D1331" i="7"/>
  <c r="I1324" i="7"/>
  <c r="E1324" i="7"/>
  <c r="K1317" i="7"/>
  <c r="G1317" i="7"/>
  <c r="C1317" i="7"/>
  <c r="H1310" i="7"/>
  <c r="D1310" i="7"/>
  <c r="E1302" i="7"/>
  <c r="F1295" i="7"/>
  <c r="J1288" i="7"/>
  <c r="F1288" i="7"/>
  <c r="J1281" i="7"/>
  <c r="F1281" i="7"/>
  <c r="J1266" i="7"/>
  <c r="E1266" i="7"/>
  <c r="J1258" i="7"/>
  <c r="F1258" i="7"/>
  <c r="K1244" i="7"/>
  <c r="G1244" i="7"/>
  <c r="C1244" i="7"/>
  <c r="H1237" i="7"/>
  <c r="D1237" i="7"/>
  <c r="I1230" i="7"/>
  <c r="E1230" i="7"/>
  <c r="J1223" i="7"/>
  <c r="F1223" i="7"/>
  <c r="K1216" i="7"/>
  <c r="G1216" i="7"/>
  <c r="C1216" i="7"/>
  <c r="H1209" i="7"/>
  <c r="D1209" i="7"/>
  <c r="I1202" i="7"/>
  <c r="E1202" i="7"/>
  <c r="J1424" i="7"/>
  <c r="E1424" i="7"/>
  <c r="J1417" i="7"/>
  <c r="F1417" i="7"/>
  <c r="K1410" i="7"/>
  <c r="G1410" i="7"/>
  <c r="C1410" i="7"/>
  <c r="H1403" i="7"/>
  <c r="D1403" i="7"/>
  <c r="I1396" i="7"/>
  <c r="E1396" i="7"/>
  <c r="J1389" i="7"/>
  <c r="F1389" i="7"/>
  <c r="K1382" i="7"/>
  <c r="G1382" i="7"/>
  <c r="C1382" i="7"/>
  <c r="F1366" i="7"/>
  <c r="J1359" i="7"/>
  <c r="E1359" i="7"/>
  <c r="J1345" i="7"/>
  <c r="F1345" i="7"/>
  <c r="J1338" i="7"/>
  <c r="F1338" i="7"/>
  <c r="I1424" i="7"/>
  <c r="D1424" i="7"/>
  <c r="I1417" i="7"/>
  <c r="E1417" i="7"/>
  <c r="J1410" i="7"/>
  <c r="F1410" i="7"/>
  <c r="K1403" i="7"/>
  <c r="G1403" i="7"/>
  <c r="C1403" i="7"/>
  <c r="H1396" i="7"/>
  <c r="D1396" i="7"/>
  <c r="I1389" i="7"/>
  <c r="E1389" i="7"/>
  <c r="J1382" i="7"/>
  <c r="F1382" i="7"/>
  <c r="J1366" i="7"/>
  <c r="E1366" i="7"/>
  <c r="I1359" i="7"/>
  <c r="D1359" i="7"/>
  <c r="I1345" i="7"/>
  <c r="E1345" i="7"/>
  <c r="I1338" i="7"/>
  <c r="E1338" i="7"/>
  <c r="J1331" i="7"/>
  <c r="F1331" i="7"/>
  <c r="K1324" i="7"/>
  <c r="G1324" i="7"/>
  <c r="C1324" i="7"/>
  <c r="I1317" i="7"/>
  <c r="E1317" i="7"/>
  <c r="J1310" i="7"/>
  <c r="F1310" i="7"/>
  <c r="I1302" i="7"/>
  <c r="C1302" i="7"/>
  <c r="I1295" i="7"/>
  <c r="D1295" i="7"/>
  <c r="H1288" i="7"/>
  <c r="D1288" i="7"/>
  <c r="H1281" i="7"/>
  <c r="D1281" i="7"/>
  <c r="H1266" i="7"/>
  <c r="C1266" i="7"/>
  <c r="H1258" i="7"/>
  <c r="D1258" i="7"/>
  <c r="I1244" i="7"/>
  <c r="E1244" i="7"/>
  <c r="J1237" i="7"/>
  <c r="F1237" i="7"/>
  <c r="K1230" i="7"/>
  <c r="G1230" i="7"/>
  <c r="C1230" i="7"/>
  <c r="H1223" i="7"/>
  <c r="D1223" i="7"/>
  <c r="I1216" i="7"/>
  <c r="E1216" i="7"/>
  <c r="J1209" i="7"/>
  <c r="F1209" i="7"/>
  <c r="K1202" i="7"/>
  <c r="G1202" i="7"/>
  <c r="C1202" i="7"/>
  <c r="H1424" i="7"/>
  <c r="C1424" i="7"/>
  <c r="H1417" i="7"/>
  <c r="D1417" i="7"/>
  <c r="I1410" i="7"/>
  <c r="E1410" i="7"/>
  <c r="J1403" i="7"/>
  <c r="F1403" i="7"/>
  <c r="K1396" i="7"/>
  <c r="G1396" i="7"/>
  <c r="C1396" i="7"/>
  <c r="H1389" i="7"/>
  <c r="D1389" i="7"/>
  <c r="I1382" i="7"/>
  <c r="E1382" i="7"/>
  <c r="I1366" i="7"/>
  <c r="D1366" i="7"/>
  <c r="H1359" i="7"/>
  <c r="C1359" i="7"/>
  <c r="H1345" i="7"/>
  <c r="D1345" i="7"/>
  <c r="H1338" i="7"/>
  <c r="D1338" i="7"/>
  <c r="E1310" i="7"/>
  <c r="D1317" i="7"/>
  <c r="J1324" i="7"/>
  <c r="I1331" i="7"/>
  <c r="G1129" i="7"/>
  <c r="K1114" i="7"/>
  <c r="E415" i="7" l="1"/>
  <c r="C35" i="7"/>
  <c r="C34" i="7"/>
  <c r="C41" i="7"/>
  <c r="C48" i="7"/>
  <c r="C76" i="7"/>
  <c r="C83" i="7"/>
  <c r="C90" i="7"/>
  <c r="C97" i="7"/>
  <c r="C111" i="7"/>
  <c r="C118" i="7"/>
  <c r="C125" i="7"/>
  <c r="C132" i="7"/>
  <c r="C139" i="7"/>
  <c r="C146" i="7"/>
  <c r="C153" i="7"/>
  <c r="C160" i="7"/>
  <c r="C167" i="7"/>
  <c r="C174" i="7"/>
  <c r="C181" i="7"/>
  <c r="C188" i="7"/>
  <c r="G1128" i="7"/>
  <c r="C36" i="7" l="1"/>
  <c r="I1180" i="7"/>
  <c r="D1180" i="7"/>
  <c r="J1173" i="7"/>
  <c r="E1173" i="7"/>
  <c r="K1166" i="7"/>
  <c r="G1166" i="7"/>
  <c r="C1166" i="7"/>
  <c r="K1158" i="7"/>
  <c r="G1158" i="7"/>
  <c r="C1158" i="7"/>
  <c r="J1151" i="7"/>
  <c r="D1151" i="7"/>
  <c r="J1144" i="7"/>
  <c r="F1144" i="7"/>
  <c r="H1137" i="7"/>
  <c r="D1137" i="7"/>
  <c r="F1130" i="7"/>
  <c r="K1123" i="7"/>
  <c r="E1123" i="7"/>
  <c r="K1115" i="7"/>
  <c r="K1116" i="7" s="1"/>
  <c r="E1115" i="7"/>
  <c r="K1108" i="7"/>
  <c r="E1108" i="7"/>
  <c r="E1109" i="7" s="1"/>
  <c r="H1101" i="7"/>
  <c r="C1101" i="7"/>
  <c r="F1180" i="7"/>
  <c r="C1173" i="7"/>
  <c r="E1166" i="7"/>
  <c r="E1158" i="7"/>
  <c r="F1151" i="7"/>
  <c r="H1144" i="7"/>
  <c r="D1144" i="7"/>
  <c r="J1137" i="7"/>
  <c r="H1108" i="7"/>
  <c r="H1180" i="7"/>
  <c r="C1180" i="7"/>
  <c r="I1173" i="7"/>
  <c r="D1173" i="7"/>
  <c r="J1166" i="7"/>
  <c r="F1166" i="7"/>
  <c r="J1158" i="7"/>
  <c r="F1158" i="7"/>
  <c r="H1151" i="7"/>
  <c r="C1151" i="7"/>
  <c r="E1144" i="7"/>
  <c r="G1137" i="7"/>
  <c r="C1137" i="7"/>
  <c r="G1130" i="7"/>
  <c r="E1130" i="7"/>
  <c r="J1123" i="7"/>
  <c r="D1123" i="7"/>
  <c r="J1115" i="7"/>
  <c r="D1115" i="7"/>
  <c r="J1108" i="7"/>
  <c r="D1108" i="7"/>
  <c r="F1101" i="7"/>
  <c r="H1173" i="7"/>
  <c r="I1166" i="7"/>
  <c r="I1158" i="7"/>
  <c r="F1137" i="7"/>
  <c r="I1130" i="7"/>
  <c r="D1130" i="7"/>
  <c r="H1123" i="7"/>
  <c r="C1123" i="7"/>
  <c r="H1115" i="7"/>
  <c r="C1115" i="7"/>
  <c r="C1108" i="7"/>
  <c r="K1151" i="7"/>
  <c r="K1144" i="7"/>
  <c r="J1130" i="7"/>
  <c r="F1123" i="7"/>
  <c r="F1108" i="7"/>
  <c r="I1137" i="7"/>
  <c r="J1101" i="7"/>
  <c r="E1137" i="7"/>
  <c r="F1115" i="7"/>
  <c r="F1173" i="7"/>
  <c r="D1158" i="7"/>
  <c r="C1130" i="7"/>
  <c r="D1101" i="7"/>
  <c r="J1180" i="7"/>
  <c r="H1166" i="7"/>
  <c r="E1151" i="7"/>
  <c r="E1180" i="7"/>
  <c r="D1166" i="7"/>
  <c r="H1158" i="7"/>
  <c r="C1144" i="7"/>
  <c r="H1130" i="7"/>
  <c r="E1101" i="7"/>
  <c r="D430" i="7"/>
  <c r="E380" i="7"/>
  <c r="H1093" i="7"/>
  <c r="D1093" i="7"/>
  <c r="K1086" i="7"/>
  <c r="G1086" i="7"/>
  <c r="C1086" i="7"/>
  <c r="H1079" i="7"/>
  <c r="D1079" i="7"/>
  <c r="I1072" i="7"/>
  <c r="E1072" i="7"/>
  <c r="J1058" i="7"/>
  <c r="F1058" i="7"/>
  <c r="K1051" i="7"/>
  <c r="G1051" i="7"/>
  <c r="C1051" i="7"/>
  <c r="H1044" i="7"/>
  <c r="D1044" i="7"/>
  <c r="H1036" i="7"/>
  <c r="C1036" i="7"/>
  <c r="I1029" i="7"/>
  <c r="E1029" i="7"/>
  <c r="J1022" i="7"/>
  <c r="F1022" i="7"/>
  <c r="K1015" i="7"/>
  <c r="G1015" i="7"/>
  <c r="C1015" i="7"/>
  <c r="G1008" i="7"/>
  <c r="C1008" i="7"/>
  <c r="G1001" i="7"/>
  <c r="C1001" i="7"/>
  <c r="H994" i="7"/>
  <c r="D994" i="7"/>
  <c r="I987" i="7"/>
  <c r="E987" i="7"/>
  <c r="K980" i="7"/>
  <c r="G980" i="7"/>
  <c r="C980" i="7"/>
  <c r="K1093" i="7"/>
  <c r="G1093" i="7"/>
  <c r="C1093" i="7"/>
  <c r="J1086" i="7"/>
  <c r="F1086" i="7"/>
  <c r="K1079" i="7"/>
  <c r="G1079" i="7"/>
  <c r="C1079" i="7"/>
  <c r="H1072" i="7"/>
  <c r="D1072" i="7"/>
  <c r="I1058" i="7"/>
  <c r="E1058" i="7"/>
  <c r="J1051" i="7"/>
  <c r="F1051" i="7"/>
  <c r="K1044" i="7"/>
  <c r="G1044" i="7"/>
  <c r="C1044" i="7"/>
  <c r="F1036" i="7"/>
  <c r="H1029" i="7"/>
  <c r="D1029" i="7"/>
  <c r="I1022" i="7"/>
  <c r="E1022" i="7"/>
  <c r="J1015" i="7"/>
  <c r="F1015" i="7"/>
  <c r="J1008" i="7"/>
  <c r="F1008" i="7"/>
  <c r="J1001" i="7"/>
  <c r="F1001" i="7"/>
  <c r="K994" i="7"/>
  <c r="J1093" i="7"/>
  <c r="F1093" i="7"/>
  <c r="I1086" i="7"/>
  <c r="E1086" i="7"/>
  <c r="J1079" i="7"/>
  <c r="F1079" i="7"/>
  <c r="K1072" i="7"/>
  <c r="G1072" i="7"/>
  <c r="C1072" i="7"/>
  <c r="H1058" i="7"/>
  <c r="D1058" i="7"/>
  <c r="I1051" i="7"/>
  <c r="E1051" i="7"/>
  <c r="J1044" i="7"/>
  <c r="F1044" i="7"/>
  <c r="J1036" i="7"/>
  <c r="E1036" i="7"/>
  <c r="K1029" i="7"/>
  <c r="G1029" i="7"/>
  <c r="C1029" i="7"/>
  <c r="H1022" i="7"/>
  <c r="D1022" i="7"/>
  <c r="I1015" i="7"/>
  <c r="E1015" i="7"/>
  <c r="I1008" i="7"/>
  <c r="E1008" i="7"/>
  <c r="I1001" i="7"/>
  <c r="E1001" i="7"/>
  <c r="J994" i="7"/>
  <c r="F994" i="7"/>
  <c r="K987" i="7"/>
  <c r="G987" i="7"/>
  <c r="C987" i="7"/>
  <c r="I980" i="7"/>
  <c r="E980" i="7"/>
  <c r="I1093" i="7"/>
  <c r="E1093" i="7"/>
  <c r="H1086" i="7"/>
  <c r="D1086" i="7"/>
  <c r="I1079" i="7"/>
  <c r="E1079" i="7"/>
  <c r="J1072" i="7"/>
  <c r="F1072" i="7"/>
  <c r="K1058" i="7"/>
  <c r="G1058" i="7"/>
  <c r="C1058" i="7"/>
  <c r="H1051" i="7"/>
  <c r="D1051" i="7"/>
  <c r="I1044" i="7"/>
  <c r="E1044" i="7"/>
  <c r="I1036" i="7"/>
  <c r="D1036" i="7"/>
  <c r="J1029" i="7"/>
  <c r="F1029" i="7"/>
  <c r="K1022" i="7"/>
  <c r="G1022" i="7"/>
  <c r="C1022" i="7"/>
  <c r="H1015" i="7"/>
  <c r="D1015" i="7"/>
  <c r="H1008" i="7"/>
  <c r="D1008" i="7"/>
  <c r="H1001" i="7"/>
  <c r="D1001" i="7"/>
  <c r="I994" i="7"/>
  <c r="G994" i="7"/>
  <c r="H987" i="7"/>
  <c r="J980" i="7"/>
  <c r="F987" i="7"/>
  <c r="H980" i="7"/>
  <c r="C994" i="7"/>
  <c r="D987" i="7"/>
  <c r="F980" i="7"/>
  <c r="J987" i="7"/>
  <c r="D980" i="7"/>
  <c r="E994" i="7"/>
  <c r="E422" i="7"/>
  <c r="E366" i="7"/>
  <c r="F437" i="7"/>
  <c r="C96" i="7"/>
  <c r="H49" i="7"/>
  <c r="E408" i="7"/>
  <c r="J437" i="7"/>
  <c r="H965" i="7"/>
  <c r="D965" i="7"/>
  <c r="I958" i="7"/>
  <c r="E958" i="7"/>
  <c r="I951" i="7"/>
  <c r="E951" i="7"/>
  <c r="I944" i="7"/>
  <c r="E944" i="7"/>
  <c r="K937" i="7"/>
  <c r="G937" i="7"/>
  <c r="C937" i="7"/>
  <c r="H930" i="7"/>
  <c r="D930" i="7"/>
  <c r="H922" i="7"/>
  <c r="C922" i="7"/>
  <c r="H915" i="7"/>
  <c r="D915" i="7"/>
  <c r="I908" i="7"/>
  <c r="E908" i="7"/>
  <c r="I900" i="7"/>
  <c r="E900" i="7"/>
  <c r="J893" i="7"/>
  <c r="E893" i="7"/>
  <c r="K886" i="7"/>
  <c r="G886" i="7"/>
  <c r="C886" i="7"/>
  <c r="H879" i="7"/>
  <c r="D879" i="7"/>
  <c r="J872" i="7"/>
  <c r="F872" i="7"/>
  <c r="I865" i="7"/>
  <c r="E865" i="7"/>
  <c r="I858" i="7"/>
  <c r="E858" i="7"/>
  <c r="I851" i="7"/>
  <c r="E851" i="7"/>
  <c r="J844" i="7"/>
  <c r="F844" i="7"/>
  <c r="K837" i="7"/>
  <c r="G837" i="7"/>
  <c r="C837" i="7"/>
  <c r="J830" i="7"/>
  <c r="F830" i="7"/>
  <c r="F822" i="7"/>
  <c r="J815" i="7"/>
  <c r="E815" i="7"/>
  <c r="I808" i="7"/>
  <c r="C808" i="7"/>
  <c r="H800" i="7"/>
  <c r="D800" i="7"/>
  <c r="H793" i="7"/>
  <c r="D793" i="7"/>
  <c r="H785" i="7"/>
  <c r="C785" i="7"/>
  <c r="H777" i="7"/>
  <c r="C777" i="7"/>
  <c r="H770" i="7"/>
  <c r="D770" i="7"/>
  <c r="I763" i="7"/>
  <c r="E763" i="7"/>
  <c r="K756" i="7"/>
  <c r="I965" i="7"/>
  <c r="E965" i="7"/>
  <c r="J958" i="7"/>
  <c r="F958" i="7"/>
  <c r="J951" i="7"/>
  <c r="F951" i="7"/>
  <c r="J944" i="7"/>
  <c r="F944" i="7"/>
  <c r="H937" i="7"/>
  <c r="D937" i="7"/>
  <c r="I930" i="7"/>
  <c r="E930" i="7"/>
  <c r="I922" i="7"/>
  <c r="D922" i="7"/>
  <c r="I915" i="7"/>
  <c r="E915" i="7"/>
  <c r="J908" i="7"/>
  <c r="F908" i="7"/>
  <c r="J900" i="7"/>
  <c r="F900" i="7"/>
  <c r="F893" i="7"/>
  <c r="H886" i="7"/>
  <c r="D886" i="7"/>
  <c r="I879" i="7"/>
  <c r="E879" i="7"/>
  <c r="K872" i="7"/>
  <c r="G872" i="7"/>
  <c r="C872" i="7"/>
  <c r="J865" i="7"/>
  <c r="F865" i="7"/>
  <c r="J858" i="7"/>
  <c r="F858" i="7"/>
  <c r="J851" i="7"/>
  <c r="F851" i="7"/>
  <c r="K844" i="7"/>
  <c r="G844" i="7"/>
  <c r="C844" i="7"/>
  <c r="H837" i="7"/>
  <c r="D837" i="7"/>
  <c r="G830" i="7"/>
  <c r="C830" i="7"/>
  <c r="H822" i="7"/>
  <c r="C822" i="7"/>
  <c r="F815" i="7"/>
  <c r="J808" i="7"/>
  <c r="F808" i="7"/>
  <c r="I800" i="7"/>
  <c r="E800" i="7"/>
  <c r="I793" i="7"/>
  <c r="E793" i="7"/>
  <c r="I785" i="7"/>
  <c r="D785" i="7"/>
  <c r="I777" i="7"/>
  <c r="D777" i="7"/>
  <c r="I770" i="7"/>
  <c r="E770" i="7"/>
  <c r="J763" i="7"/>
  <c r="F763" i="7"/>
  <c r="H756" i="7"/>
  <c r="K965" i="7"/>
  <c r="C965" i="7"/>
  <c r="D958" i="7"/>
  <c r="D951" i="7"/>
  <c r="D944" i="7"/>
  <c r="F937" i="7"/>
  <c r="G930" i="7"/>
  <c r="F922" i="7"/>
  <c r="G915" i="7"/>
  <c r="H908" i="7"/>
  <c r="H900" i="7"/>
  <c r="I893" i="7"/>
  <c r="J886" i="7"/>
  <c r="K879" i="7"/>
  <c r="C879" i="7"/>
  <c r="E872" i="7"/>
  <c r="H865" i="7"/>
  <c r="H858" i="7"/>
  <c r="H851" i="7"/>
  <c r="I844" i="7"/>
  <c r="J837" i="7"/>
  <c r="I830" i="7"/>
  <c r="J822" i="7"/>
  <c r="I815" i="7"/>
  <c r="H808" i="7"/>
  <c r="G800" i="7"/>
  <c r="G793" i="7"/>
  <c r="F785" i="7"/>
  <c r="F777" i="7"/>
  <c r="G770" i="7"/>
  <c r="H763" i="7"/>
  <c r="J756" i="7"/>
  <c r="E756" i="7"/>
  <c r="J749" i="7"/>
  <c r="F749" i="7"/>
  <c r="K742" i="7"/>
  <c r="G742" i="7"/>
  <c r="C742" i="7"/>
  <c r="H735" i="7"/>
  <c r="D735" i="7"/>
  <c r="I728" i="7"/>
  <c r="E728" i="7"/>
  <c r="I721" i="7"/>
  <c r="E721" i="7"/>
  <c r="J707" i="7"/>
  <c r="F707" i="7"/>
  <c r="J965" i="7"/>
  <c r="C958" i="7"/>
  <c r="C951" i="7"/>
  <c r="E937" i="7"/>
  <c r="E922" i="7"/>
  <c r="G908" i="7"/>
  <c r="G900" i="7"/>
  <c r="J879" i="7"/>
  <c r="D872" i="7"/>
  <c r="G858" i="7"/>
  <c r="H844" i="7"/>
  <c r="I822" i="7"/>
  <c r="H815" i="7"/>
  <c r="F800" i="7"/>
  <c r="E785" i="7"/>
  <c r="F770" i="7"/>
  <c r="D756" i="7"/>
  <c r="E749" i="7"/>
  <c r="F742" i="7"/>
  <c r="K735" i="7"/>
  <c r="H728" i="7"/>
  <c r="D721" i="7"/>
  <c r="E707" i="7"/>
  <c r="F965" i="7"/>
  <c r="G958" i="7"/>
  <c r="G951" i="7"/>
  <c r="G944" i="7"/>
  <c r="I937" i="7"/>
  <c r="J930" i="7"/>
  <c r="J922" i="7"/>
  <c r="J915" i="7"/>
  <c r="K908" i="7"/>
  <c r="C908" i="7"/>
  <c r="C900" i="7"/>
  <c r="C893" i="7"/>
  <c r="E886" i="7"/>
  <c r="F879" i="7"/>
  <c r="H872" i="7"/>
  <c r="K865" i="7"/>
  <c r="C865" i="7"/>
  <c r="C858" i="7"/>
  <c r="C851" i="7"/>
  <c r="D844" i="7"/>
  <c r="E837" i="7"/>
  <c r="D830" i="7"/>
  <c r="D822" i="7"/>
  <c r="C815" i="7"/>
  <c r="J800" i="7"/>
  <c r="J793" i="7"/>
  <c r="J785" i="7"/>
  <c r="J777" i="7"/>
  <c r="J770" i="7"/>
  <c r="K763" i="7"/>
  <c r="C763" i="7"/>
  <c r="F756" i="7"/>
  <c r="K749" i="7"/>
  <c r="G749" i="7"/>
  <c r="C749" i="7"/>
  <c r="H742" i="7"/>
  <c r="D742" i="7"/>
  <c r="I735" i="7"/>
  <c r="E735" i="7"/>
  <c r="J728" i="7"/>
  <c r="F728" i="7"/>
  <c r="J721" i="7"/>
  <c r="F721" i="7"/>
  <c r="K707" i="7"/>
  <c r="G707" i="7"/>
  <c r="C707" i="7"/>
  <c r="K958" i="7"/>
  <c r="C944" i="7"/>
  <c r="F930" i="7"/>
  <c r="F915" i="7"/>
  <c r="H893" i="7"/>
  <c r="I886" i="7"/>
  <c r="G865" i="7"/>
  <c r="G851" i="7"/>
  <c r="I837" i="7"/>
  <c r="H830" i="7"/>
  <c r="G808" i="7"/>
  <c r="F793" i="7"/>
  <c r="E777" i="7"/>
  <c r="G763" i="7"/>
  <c r="I756" i="7"/>
  <c r="I749" i="7"/>
  <c r="J742" i="7"/>
  <c r="G735" i="7"/>
  <c r="C735" i="7"/>
  <c r="D728" i="7"/>
  <c r="H721" i="7"/>
  <c r="I707" i="7"/>
  <c r="G965" i="7"/>
  <c r="H958" i="7"/>
  <c r="J937" i="7"/>
  <c r="C915" i="7"/>
  <c r="F886" i="7"/>
  <c r="D858" i="7"/>
  <c r="D815" i="7"/>
  <c r="D749" i="7"/>
  <c r="F735" i="7"/>
  <c r="G721" i="7"/>
  <c r="H951" i="7"/>
  <c r="K930" i="7"/>
  <c r="D908" i="7"/>
  <c r="E830" i="7"/>
  <c r="K770" i="7"/>
  <c r="I742" i="7"/>
  <c r="C721" i="7"/>
  <c r="C930" i="7"/>
  <c r="D893" i="7"/>
  <c r="C800" i="7"/>
  <c r="C756" i="7"/>
  <c r="G728" i="7"/>
  <c r="K915" i="7"/>
  <c r="D900" i="7"/>
  <c r="I872" i="7"/>
  <c r="D865" i="7"/>
  <c r="F837" i="7"/>
  <c r="C793" i="7"/>
  <c r="D763" i="7"/>
  <c r="H749" i="7"/>
  <c r="J735" i="7"/>
  <c r="C728" i="7"/>
  <c r="D707" i="7"/>
  <c r="G879" i="7"/>
  <c r="D851" i="7"/>
  <c r="K800" i="7"/>
  <c r="G756" i="7"/>
  <c r="K728" i="7"/>
  <c r="H944" i="7"/>
  <c r="E844" i="7"/>
  <c r="E822" i="7"/>
  <c r="C770" i="7"/>
  <c r="E742" i="7"/>
  <c r="H707" i="7"/>
  <c r="J700" i="7"/>
  <c r="F700" i="7"/>
  <c r="K693" i="7"/>
  <c r="G693" i="7"/>
  <c r="C693" i="7"/>
  <c r="H686" i="7"/>
  <c r="D686" i="7"/>
  <c r="I679" i="7"/>
  <c r="E679" i="7"/>
  <c r="J656" i="7"/>
  <c r="E656" i="7"/>
  <c r="K649" i="7"/>
  <c r="G649" i="7"/>
  <c r="C649" i="7"/>
  <c r="J642" i="7"/>
  <c r="F642" i="7"/>
  <c r="H635" i="7"/>
  <c r="D635" i="7"/>
  <c r="I628" i="7"/>
  <c r="E628" i="7"/>
  <c r="K621" i="7"/>
  <c r="G621" i="7"/>
  <c r="C621" i="7"/>
  <c r="H614" i="7"/>
  <c r="D614" i="7"/>
  <c r="H607" i="7"/>
  <c r="D607" i="7"/>
  <c r="H599" i="7"/>
  <c r="D599" i="7"/>
  <c r="I592" i="7"/>
  <c r="D592" i="7"/>
  <c r="I585" i="7"/>
  <c r="I700" i="7"/>
  <c r="E700" i="7"/>
  <c r="F693" i="7"/>
  <c r="K686" i="7"/>
  <c r="C686" i="7"/>
  <c r="D679" i="7"/>
  <c r="D656" i="7"/>
  <c r="F649" i="7"/>
  <c r="I642" i="7"/>
  <c r="K635" i="7"/>
  <c r="C635" i="7"/>
  <c r="D628" i="7"/>
  <c r="F621" i="7"/>
  <c r="G614" i="7"/>
  <c r="G607" i="7"/>
  <c r="G599" i="7"/>
  <c r="H592" i="7"/>
  <c r="J585" i="7"/>
  <c r="H700" i="7"/>
  <c r="I693" i="7"/>
  <c r="J686" i="7"/>
  <c r="K679" i="7"/>
  <c r="C679" i="7"/>
  <c r="C656" i="7"/>
  <c r="E649" i="7"/>
  <c r="H642" i="7"/>
  <c r="J635" i="7"/>
  <c r="K628" i="7"/>
  <c r="C628" i="7"/>
  <c r="E621" i="7"/>
  <c r="F614" i="7"/>
  <c r="J599" i="7"/>
  <c r="K585" i="7"/>
  <c r="K700" i="7"/>
  <c r="G700" i="7"/>
  <c r="C700" i="7"/>
  <c r="H693" i="7"/>
  <c r="D693" i="7"/>
  <c r="I686" i="7"/>
  <c r="E686" i="7"/>
  <c r="J679" i="7"/>
  <c r="F679" i="7"/>
  <c r="F656" i="7"/>
  <c r="H649" i="7"/>
  <c r="D649" i="7"/>
  <c r="K642" i="7"/>
  <c r="G642" i="7"/>
  <c r="C642" i="7"/>
  <c r="I635" i="7"/>
  <c r="E635" i="7"/>
  <c r="J628" i="7"/>
  <c r="F628" i="7"/>
  <c r="H621" i="7"/>
  <c r="D621" i="7"/>
  <c r="I614" i="7"/>
  <c r="E614" i="7"/>
  <c r="I607" i="7"/>
  <c r="E607" i="7"/>
  <c r="I599" i="7"/>
  <c r="E599" i="7"/>
  <c r="J592" i="7"/>
  <c r="E592" i="7"/>
  <c r="H585" i="7"/>
  <c r="J693" i="7"/>
  <c r="G686" i="7"/>
  <c r="H679" i="7"/>
  <c r="I656" i="7"/>
  <c r="J649" i="7"/>
  <c r="E642" i="7"/>
  <c r="G635" i="7"/>
  <c r="G636" i="7" s="1"/>
  <c r="H628" i="7"/>
  <c r="J621" i="7"/>
  <c r="K614" i="7"/>
  <c r="C614" i="7"/>
  <c r="C607" i="7"/>
  <c r="C599" i="7"/>
  <c r="C592" i="7"/>
  <c r="D700" i="7"/>
  <c r="E693" i="7"/>
  <c r="F686" i="7"/>
  <c r="G679" i="7"/>
  <c r="H656" i="7"/>
  <c r="I649" i="7"/>
  <c r="D642" i="7"/>
  <c r="F635" i="7"/>
  <c r="G628" i="7"/>
  <c r="I621" i="7"/>
  <c r="J614" i="7"/>
  <c r="J607" i="7"/>
  <c r="F607" i="7"/>
  <c r="F599" i="7"/>
  <c r="F592" i="7"/>
  <c r="G585" i="7"/>
  <c r="D585" i="7"/>
  <c r="C585" i="7"/>
  <c r="F585" i="7"/>
  <c r="E585" i="7"/>
  <c r="F394" i="7"/>
  <c r="E373" i="7"/>
  <c r="F444" i="7"/>
  <c r="C89" i="7"/>
  <c r="C180" i="7"/>
  <c r="E21" i="7"/>
  <c r="J366" i="7"/>
  <c r="J408" i="7"/>
  <c r="I422" i="7"/>
  <c r="I380" i="7"/>
  <c r="K444" i="7"/>
  <c r="H578" i="7"/>
  <c r="D578" i="7"/>
  <c r="J571" i="7"/>
  <c r="F571" i="7"/>
  <c r="K564" i="7"/>
  <c r="G564" i="7"/>
  <c r="C564" i="7"/>
  <c r="I557" i="7"/>
  <c r="E557" i="7"/>
  <c r="I550" i="7"/>
  <c r="E550" i="7"/>
  <c r="J543" i="7"/>
  <c r="F543" i="7"/>
  <c r="K536" i="7"/>
  <c r="G536" i="7"/>
  <c r="C536" i="7"/>
  <c r="H529" i="7"/>
  <c r="D529" i="7"/>
  <c r="I522" i="7"/>
  <c r="E522" i="7"/>
  <c r="J515" i="7"/>
  <c r="F515" i="7"/>
  <c r="K508" i="7"/>
  <c r="G508" i="7"/>
  <c r="C508" i="7"/>
  <c r="G501" i="7"/>
  <c r="C501" i="7"/>
  <c r="F578" i="7"/>
  <c r="D571" i="7"/>
  <c r="E564" i="7"/>
  <c r="G557" i="7"/>
  <c r="G550" i="7"/>
  <c r="H543" i="7"/>
  <c r="I536" i="7"/>
  <c r="J529" i="7"/>
  <c r="K522" i="7"/>
  <c r="H515" i="7"/>
  <c r="I508" i="7"/>
  <c r="I501" i="7"/>
  <c r="E578" i="7"/>
  <c r="G571" i="7"/>
  <c r="C571" i="7"/>
  <c r="D564" i="7"/>
  <c r="F557" i="7"/>
  <c r="F550" i="7"/>
  <c r="G543" i="7"/>
  <c r="H536" i="7"/>
  <c r="I529" i="7"/>
  <c r="F522" i="7"/>
  <c r="G515" i="7"/>
  <c r="H508" i="7"/>
  <c r="D508" i="7"/>
  <c r="D501" i="7"/>
  <c r="K578" i="7"/>
  <c r="G578" i="7"/>
  <c r="C578" i="7"/>
  <c r="I571" i="7"/>
  <c r="E571" i="7"/>
  <c r="J564" i="7"/>
  <c r="F564" i="7"/>
  <c r="H557" i="7"/>
  <c r="D557" i="7"/>
  <c r="H550" i="7"/>
  <c r="D550" i="7"/>
  <c r="I543" i="7"/>
  <c r="E543" i="7"/>
  <c r="J536" i="7"/>
  <c r="F536" i="7"/>
  <c r="K529" i="7"/>
  <c r="G529" i="7"/>
  <c r="C529" i="7"/>
  <c r="H522" i="7"/>
  <c r="D522" i="7"/>
  <c r="I515" i="7"/>
  <c r="E515" i="7"/>
  <c r="J508" i="7"/>
  <c r="F508" i="7"/>
  <c r="J501" i="7"/>
  <c r="F501" i="7"/>
  <c r="J578" i="7"/>
  <c r="H571" i="7"/>
  <c r="I564" i="7"/>
  <c r="K557" i="7"/>
  <c r="C557" i="7"/>
  <c r="C550" i="7"/>
  <c r="D543" i="7"/>
  <c r="E536" i="7"/>
  <c r="F529" i="7"/>
  <c r="G522" i="7"/>
  <c r="C522" i="7"/>
  <c r="D515" i="7"/>
  <c r="E508" i="7"/>
  <c r="E501" i="7"/>
  <c r="I578" i="7"/>
  <c r="K571" i="7"/>
  <c r="H564" i="7"/>
  <c r="J557" i="7"/>
  <c r="J550" i="7"/>
  <c r="K543" i="7"/>
  <c r="C543" i="7"/>
  <c r="D536" i="7"/>
  <c r="E529" i="7"/>
  <c r="J522" i="7"/>
  <c r="K515" i="7"/>
  <c r="C515" i="7"/>
  <c r="H501" i="7"/>
  <c r="H42" i="7"/>
  <c r="J394" i="7"/>
  <c r="J415" i="7"/>
  <c r="I373" i="7"/>
  <c r="H430" i="7"/>
  <c r="J444" i="7"/>
  <c r="C166" i="7"/>
  <c r="C138" i="7"/>
  <c r="L49" i="7"/>
  <c r="L50" i="7" s="1"/>
  <c r="I21" i="7"/>
  <c r="G35" i="7"/>
  <c r="L42" i="7"/>
  <c r="F366" i="7"/>
  <c r="C394" i="7"/>
  <c r="G394" i="7"/>
  <c r="K394" i="7"/>
  <c r="F408" i="7"/>
  <c r="F415" i="7"/>
  <c r="F422" i="7"/>
  <c r="J422" i="7"/>
  <c r="F373" i="7"/>
  <c r="J373" i="7"/>
  <c r="F380" i="7"/>
  <c r="J380" i="7"/>
  <c r="E430" i="7"/>
  <c r="I430" i="7"/>
  <c r="G437" i="7"/>
  <c r="C444" i="7"/>
  <c r="G444" i="7"/>
  <c r="C152" i="7"/>
  <c r="C173" i="7"/>
  <c r="C131" i="7"/>
  <c r="C68" i="7"/>
  <c r="C47" i="7"/>
  <c r="E70" i="7"/>
  <c r="K493" i="7"/>
  <c r="G493" i="7"/>
  <c r="C493" i="7"/>
  <c r="H486" i="7"/>
  <c r="D486" i="7"/>
  <c r="I479" i="7"/>
  <c r="E479" i="7"/>
  <c r="K472" i="7"/>
  <c r="G472" i="7"/>
  <c r="C472" i="7"/>
  <c r="I465" i="7"/>
  <c r="D465" i="7"/>
  <c r="H458" i="7"/>
  <c r="C458" i="7"/>
  <c r="H451" i="7"/>
  <c r="D451" i="7"/>
  <c r="J493" i="7"/>
  <c r="F493" i="7"/>
  <c r="K486" i="7"/>
  <c r="G486" i="7"/>
  <c r="C486" i="7"/>
  <c r="H479" i="7"/>
  <c r="D479" i="7"/>
  <c r="J472" i="7"/>
  <c r="F472" i="7"/>
  <c r="H465" i="7"/>
  <c r="C465" i="7"/>
  <c r="F458" i="7"/>
  <c r="K451" i="7"/>
  <c r="G451" i="7"/>
  <c r="I493" i="7"/>
  <c r="E493" i="7"/>
  <c r="J486" i="7"/>
  <c r="F486" i="7"/>
  <c r="K479" i="7"/>
  <c r="G479" i="7"/>
  <c r="C479" i="7"/>
  <c r="I472" i="7"/>
  <c r="E472" i="7"/>
  <c r="F465" i="7"/>
  <c r="J458" i="7"/>
  <c r="E458" i="7"/>
  <c r="J451" i="7"/>
  <c r="F451" i="7"/>
  <c r="H493" i="7"/>
  <c r="D493" i="7"/>
  <c r="I486" i="7"/>
  <c r="E486" i="7"/>
  <c r="J479" i="7"/>
  <c r="F479" i="7"/>
  <c r="H472" i="7"/>
  <c r="D472" i="7"/>
  <c r="J465" i="7"/>
  <c r="E465" i="7"/>
  <c r="I458" i="7"/>
  <c r="D458" i="7"/>
  <c r="I451" i="7"/>
  <c r="E451" i="7"/>
  <c r="C451" i="7"/>
  <c r="F14" i="7"/>
  <c r="D28" i="7"/>
  <c r="K35" i="7"/>
  <c r="G56" i="7"/>
  <c r="C366" i="7"/>
  <c r="H366" i="7"/>
  <c r="D394" i="7"/>
  <c r="H394" i="7"/>
  <c r="C408" i="7"/>
  <c r="H408" i="7"/>
  <c r="C415" i="7"/>
  <c r="H415" i="7"/>
  <c r="C422" i="7"/>
  <c r="G422" i="7"/>
  <c r="C373" i="7"/>
  <c r="G373" i="7"/>
  <c r="C380" i="7"/>
  <c r="G380" i="7"/>
  <c r="K380" i="7"/>
  <c r="F430" i="7"/>
  <c r="J430" i="7"/>
  <c r="H437" i="7"/>
  <c r="D444" i="7"/>
  <c r="H444" i="7"/>
  <c r="C437" i="7"/>
  <c r="C124" i="7"/>
  <c r="C40" i="7"/>
  <c r="C159" i="7"/>
  <c r="D49" i="7"/>
  <c r="J14" i="7"/>
  <c r="H28" i="7"/>
  <c r="D42" i="7"/>
  <c r="C70" i="7"/>
  <c r="C71" i="7" s="1"/>
  <c r="D366" i="7"/>
  <c r="I366" i="7"/>
  <c r="E394" i="7"/>
  <c r="I394" i="7"/>
  <c r="D408" i="7"/>
  <c r="I408" i="7"/>
  <c r="D415" i="7"/>
  <c r="I415" i="7"/>
  <c r="D422" i="7"/>
  <c r="H422" i="7"/>
  <c r="D373" i="7"/>
  <c r="H373" i="7"/>
  <c r="D380" i="7"/>
  <c r="H380" i="7"/>
  <c r="C430" i="7"/>
  <c r="G430" i="7"/>
  <c r="E437" i="7"/>
  <c r="I437" i="7"/>
  <c r="E444" i="7"/>
  <c r="I444" i="7"/>
  <c r="D437" i="7"/>
  <c r="F49" i="7"/>
  <c r="D14" i="7"/>
  <c r="C21" i="7"/>
  <c r="K21" i="7"/>
  <c r="J28" i="7"/>
  <c r="I35" i="7"/>
  <c r="F42" i="7"/>
  <c r="D56" i="7"/>
  <c r="J359" i="7"/>
  <c r="F359" i="7"/>
  <c r="H352" i="7"/>
  <c r="D352" i="7"/>
  <c r="K345" i="7"/>
  <c r="G345" i="7"/>
  <c r="C345" i="7"/>
  <c r="I338" i="7"/>
  <c r="E338" i="7"/>
  <c r="J331" i="7"/>
  <c r="F331" i="7"/>
  <c r="K324" i="7"/>
  <c r="G324" i="7"/>
  <c r="C324" i="7"/>
  <c r="G317" i="7"/>
  <c r="C317" i="7"/>
  <c r="F309" i="7"/>
  <c r="K302" i="7"/>
  <c r="G302" i="7"/>
  <c r="J295" i="7"/>
  <c r="F295" i="7"/>
  <c r="H288" i="7"/>
  <c r="D288" i="7"/>
  <c r="J281" i="7"/>
  <c r="F281" i="7"/>
  <c r="I274" i="7"/>
  <c r="E274" i="7"/>
  <c r="J267" i="7"/>
  <c r="F267" i="7"/>
  <c r="J260" i="7"/>
  <c r="F260" i="7"/>
  <c r="J253" i="7"/>
  <c r="E253" i="7"/>
  <c r="K239" i="7"/>
  <c r="G239" i="7"/>
  <c r="C239" i="7"/>
  <c r="H232" i="7"/>
  <c r="D232" i="7"/>
  <c r="H225" i="7"/>
  <c r="D225" i="7"/>
  <c r="I218" i="7"/>
  <c r="E218" i="7"/>
  <c r="I211" i="7"/>
  <c r="E211" i="7"/>
  <c r="J197" i="7"/>
  <c r="F197" i="7"/>
  <c r="J189" i="7"/>
  <c r="F189" i="7"/>
  <c r="G182" i="7"/>
  <c r="C182" i="7"/>
  <c r="C183" i="7" s="1"/>
  <c r="H175" i="7"/>
  <c r="D175" i="7"/>
  <c r="J168" i="7"/>
  <c r="F168" i="7"/>
  <c r="H359" i="7"/>
  <c r="D359" i="7"/>
  <c r="J352" i="7"/>
  <c r="F352" i="7"/>
  <c r="I345" i="7"/>
  <c r="E345" i="7"/>
  <c r="K338" i="7"/>
  <c r="G338" i="7"/>
  <c r="C338" i="7"/>
  <c r="H331" i="7"/>
  <c r="D331" i="7"/>
  <c r="I324" i="7"/>
  <c r="E324" i="7"/>
  <c r="I317" i="7"/>
  <c r="E317" i="7"/>
  <c r="I309" i="7"/>
  <c r="D309" i="7"/>
  <c r="I302" i="7"/>
  <c r="E302" i="7"/>
  <c r="H295" i="7"/>
  <c r="D295" i="7"/>
  <c r="J288" i="7"/>
  <c r="F288" i="7"/>
  <c r="H281" i="7"/>
  <c r="D281" i="7"/>
  <c r="K274" i="7"/>
  <c r="G274" i="7"/>
  <c r="C274" i="7"/>
  <c r="H267" i="7"/>
  <c r="D267" i="7"/>
  <c r="H260" i="7"/>
  <c r="D260" i="7"/>
  <c r="H253" i="7"/>
  <c r="C253" i="7"/>
  <c r="I239" i="7"/>
  <c r="E239" i="7"/>
  <c r="J232" i="7"/>
  <c r="F232" i="7"/>
  <c r="J225" i="7"/>
  <c r="F225" i="7"/>
  <c r="K218" i="7"/>
  <c r="G218" i="7"/>
  <c r="C218" i="7"/>
  <c r="G211" i="7"/>
  <c r="C211" i="7"/>
  <c r="H197" i="7"/>
  <c r="D197" i="7"/>
  <c r="H189" i="7"/>
  <c r="D189" i="7"/>
  <c r="I182" i="7"/>
  <c r="E182" i="7"/>
  <c r="J175" i="7"/>
  <c r="F175" i="7"/>
  <c r="H168" i="7"/>
  <c r="D168" i="7"/>
  <c r="J161" i="7"/>
  <c r="I359" i="7"/>
  <c r="K352" i="7"/>
  <c r="C352" i="7"/>
  <c r="F345" i="7"/>
  <c r="H338" i="7"/>
  <c r="I331" i="7"/>
  <c r="J324" i="7"/>
  <c r="J317" i="7"/>
  <c r="J309" i="7"/>
  <c r="J302" i="7"/>
  <c r="E295" i="7"/>
  <c r="G288" i="7"/>
  <c r="I281" i="7"/>
  <c r="D274" i="7"/>
  <c r="E267" i="7"/>
  <c r="E260" i="7"/>
  <c r="D253" i="7"/>
  <c r="F239" i="7"/>
  <c r="G232" i="7"/>
  <c r="K225" i="7"/>
  <c r="C225" i="7"/>
  <c r="D218" i="7"/>
  <c r="D211" i="7"/>
  <c r="E197" i="7"/>
  <c r="E189" i="7"/>
  <c r="F182" i="7"/>
  <c r="G175" i="7"/>
  <c r="I168" i="7"/>
  <c r="K161" i="7"/>
  <c r="F161" i="7"/>
  <c r="H154" i="7"/>
  <c r="D154" i="7"/>
  <c r="I147" i="7"/>
  <c r="E147" i="7"/>
  <c r="J140" i="7"/>
  <c r="F140" i="7"/>
  <c r="H133" i="7"/>
  <c r="D133" i="7"/>
  <c r="H126" i="7"/>
  <c r="D126" i="7"/>
  <c r="I119" i="7"/>
  <c r="E119" i="7"/>
  <c r="K112" i="7"/>
  <c r="G112" i="7"/>
  <c r="C112" i="7"/>
  <c r="C113" i="7" s="1"/>
  <c r="I98" i="7"/>
  <c r="E98" i="7"/>
  <c r="K91" i="7"/>
  <c r="G91" i="7"/>
  <c r="C91" i="7"/>
  <c r="C92" i="7" s="1"/>
  <c r="J84" i="7"/>
  <c r="F84" i="7"/>
  <c r="K77" i="7"/>
  <c r="G77" i="7"/>
  <c r="C77" i="7"/>
  <c r="C78" i="7" s="1"/>
  <c r="H70" i="7"/>
  <c r="D70" i="7"/>
  <c r="H56" i="7"/>
  <c r="I42" i="7"/>
  <c r="E42" i="7"/>
  <c r="L35" i="7"/>
  <c r="L36" i="7" s="1"/>
  <c r="H35" i="7"/>
  <c r="D35" i="7"/>
  <c r="I28" i="7"/>
  <c r="E28" i="7"/>
  <c r="J21" i="7"/>
  <c r="F21" i="7"/>
  <c r="K14" i="7"/>
  <c r="G14" i="7"/>
  <c r="C14" i="7"/>
  <c r="I49" i="7"/>
  <c r="E49" i="7"/>
  <c r="G359" i="7"/>
  <c r="I352" i="7"/>
  <c r="D345" i="7"/>
  <c r="F338" i="7"/>
  <c r="G331" i="7"/>
  <c r="H324" i="7"/>
  <c r="H317" i="7"/>
  <c r="H309" i="7"/>
  <c r="H302" i="7"/>
  <c r="K295" i="7"/>
  <c r="E288" i="7"/>
  <c r="G281" i="7"/>
  <c r="J274" i="7"/>
  <c r="K267" i="7"/>
  <c r="C267" i="7"/>
  <c r="C260" i="7"/>
  <c r="C246" i="7"/>
  <c r="D239" i="7"/>
  <c r="E232" i="7"/>
  <c r="I225" i="7"/>
  <c r="J218" i="7"/>
  <c r="J211" i="7"/>
  <c r="K197" i="7"/>
  <c r="C197" i="7"/>
  <c r="C189" i="7"/>
  <c r="C190" i="7" s="1"/>
  <c r="D182" i="7"/>
  <c r="E175" i="7"/>
  <c r="G168" i="7"/>
  <c r="I161" i="7"/>
  <c r="E161" i="7"/>
  <c r="K154" i="7"/>
  <c r="G154" i="7"/>
  <c r="C154" i="7"/>
  <c r="C155" i="7" s="1"/>
  <c r="H147" i="7"/>
  <c r="D147" i="7"/>
  <c r="I140" i="7"/>
  <c r="E140" i="7"/>
  <c r="K133" i="7"/>
  <c r="G133" i="7"/>
  <c r="C133" i="7"/>
  <c r="C134" i="7" s="1"/>
  <c r="G126" i="7"/>
  <c r="C126" i="7"/>
  <c r="C127" i="7" s="1"/>
  <c r="H119" i="7"/>
  <c r="D119" i="7"/>
  <c r="J112" i="7"/>
  <c r="F112" i="7"/>
  <c r="H98" i="7"/>
  <c r="D98" i="7"/>
  <c r="J91" i="7"/>
  <c r="F91" i="7"/>
  <c r="I84" i="7"/>
  <c r="E84" i="7"/>
  <c r="J77" i="7"/>
  <c r="F77" i="7"/>
  <c r="K70" i="7"/>
  <c r="G70" i="7"/>
  <c r="E359" i="7"/>
  <c r="G352" i="7"/>
  <c r="J345" i="7"/>
  <c r="D338" i="7"/>
  <c r="E331" i="7"/>
  <c r="F324" i="7"/>
  <c r="F317" i="7"/>
  <c r="E309" i="7"/>
  <c r="F302" i="7"/>
  <c r="I295" i="7"/>
  <c r="K288" i="7"/>
  <c r="C288" i="7"/>
  <c r="E281" i="7"/>
  <c r="H274" i="7"/>
  <c r="I267" i="7"/>
  <c r="I260" i="7"/>
  <c r="I253" i="7"/>
  <c r="J239" i="7"/>
  <c r="K232" i="7"/>
  <c r="C232" i="7"/>
  <c r="G225" i="7"/>
  <c r="H218" i="7"/>
  <c r="H211" i="7"/>
  <c r="I197" i="7"/>
  <c r="I189" i="7"/>
  <c r="J182" i="7"/>
  <c r="C175" i="7"/>
  <c r="C176" i="7" s="1"/>
  <c r="E168" i="7"/>
  <c r="H161" i="7"/>
  <c r="D161" i="7"/>
  <c r="J154" i="7"/>
  <c r="F154" i="7"/>
  <c r="K147" i="7"/>
  <c r="G147" i="7"/>
  <c r="C147" i="7"/>
  <c r="C148" i="7" s="1"/>
  <c r="H140" i="7"/>
  <c r="D140" i="7"/>
  <c r="J133" i="7"/>
  <c r="F133" i="7"/>
  <c r="J126" i="7"/>
  <c r="F126" i="7"/>
  <c r="G119" i="7"/>
  <c r="C119" i="7"/>
  <c r="C120" i="7" s="1"/>
  <c r="I112" i="7"/>
  <c r="E112" i="7"/>
  <c r="K98" i="7"/>
  <c r="G98" i="7"/>
  <c r="C98" i="7"/>
  <c r="C99" i="7" s="1"/>
  <c r="I91" i="7"/>
  <c r="E91" i="7"/>
  <c r="H84" i="7"/>
  <c r="D84" i="7"/>
  <c r="I77" i="7"/>
  <c r="E77" i="7"/>
  <c r="J70" i="7"/>
  <c r="F70" i="7"/>
  <c r="J56" i="7"/>
  <c r="E56" i="7"/>
  <c r="K42" i="7"/>
  <c r="G42" i="7"/>
  <c r="C42" i="7"/>
  <c r="C43" i="7" s="1"/>
  <c r="J35" i="7"/>
  <c r="F35" i="7"/>
  <c r="K28" i="7"/>
  <c r="G28" i="7"/>
  <c r="C28" i="7"/>
  <c r="H21" i="7"/>
  <c r="D21" i="7"/>
  <c r="I14" i="7"/>
  <c r="E14" i="7"/>
  <c r="K49" i="7"/>
  <c r="G49" i="7"/>
  <c r="C49" i="7"/>
  <c r="C50" i="7" s="1"/>
  <c r="K359" i="7"/>
  <c r="C359" i="7"/>
  <c r="E352" i="7"/>
  <c r="H345" i="7"/>
  <c r="J338" i="7"/>
  <c r="K331" i="7"/>
  <c r="C331" i="7"/>
  <c r="D324" i="7"/>
  <c r="D317" i="7"/>
  <c r="D302" i="7"/>
  <c r="G295" i="7"/>
  <c r="I288" i="7"/>
  <c r="K281" i="7"/>
  <c r="C281" i="7"/>
  <c r="F274" i="7"/>
  <c r="G267" i="7"/>
  <c r="G260" i="7"/>
  <c r="F253" i="7"/>
  <c r="H239" i="7"/>
  <c r="I232" i="7"/>
  <c r="E225" i="7"/>
  <c r="F218" i="7"/>
  <c r="F211" i="7"/>
  <c r="G197" i="7"/>
  <c r="G189" i="7"/>
  <c r="H182" i="7"/>
  <c r="I175" i="7"/>
  <c r="K168" i="7"/>
  <c r="C168" i="7"/>
  <c r="C169" i="7" s="1"/>
  <c r="G161" i="7"/>
  <c r="C161" i="7"/>
  <c r="C162" i="7" s="1"/>
  <c r="I154" i="7"/>
  <c r="E154" i="7"/>
  <c r="J147" i="7"/>
  <c r="F147" i="7"/>
  <c r="K140" i="7"/>
  <c r="G140" i="7"/>
  <c r="C140" i="7"/>
  <c r="C141" i="7" s="1"/>
  <c r="I133" i="7"/>
  <c r="E133" i="7"/>
  <c r="I126" i="7"/>
  <c r="E126" i="7"/>
  <c r="J119" i="7"/>
  <c r="F119" i="7"/>
  <c r="L112" i="7"/>
  <c r="L113" i="7" s="1"/>
  <c r="H112" i="7"/>
  <c r="D112" i="7"/>
  <c r="J98" i="7"/>
  <c r="F98" i="7"/>
  <c r="H91" i="7"/>
  <c r="D91" i="7"/>
  <c r="K84" i="7"/>
  <c r="G84" i="7"/>
  <c r="C84" i="7"/>
  <c r="C85" i="7" s="1"/>
  <c r="H77" i="7"/>
  <c r="D77" i="7"/>
  <c r="I70" i="7"/>
  <c r="J49" i="7"/>
  <c r="H14" i="7"/>
  <c r="G21" i="7"/>
  <c r="F28" i="7"/>
  <c r="E35" i="7"/>
  <c r="J42" i="7"/>
  <c r="I56" i="7"/>
  <c r="C117" i="7"/>
  <c r="C82" i="7"/>
  <c r="C110" i="7"/>
  <c r="C75" i="7"/>
  <c r="J1495" i="7"/>
  <c r="J1497" i="7" s="1"/>
  <c r="I1495" i="7"/>
  <c r="I1497" i="7" s="1"/>
  <c r="F1495" i="7"/>
  <c r="E1495" i="7"/>
  <c r="E1497" i="7" s="1"/>
  <c r="D1495" i="7"/>
  <c r="D1497" i="7" s="1"/>
  <c r="C1495" i="7"/>
  <c r="C1497" i="7" s="1"/>
  <c r="J1488" i="7"/>
  <c r="J1490" i="7" s="1"/>
  <c r="I1488" i="7"/>
  <c r="I1490" i="7" s="1"/>
  <c r="G1488" i="7"/>
  <c r="G1490" i="7" s="1"/>
  <c r="F1488" i="7"/>
  <c r="E1488" i="7"/>
  <c r="E1490" i="7" s="1"/>
  <c r="D1488" i="7"/>
  <c r="D1490" i="7" s="1"/>
  <c r="C1488" i="7"/>
  <c r="C1490" i="7" s="1"/>
  <c r="J1480" i="7"/>
  <c r="J1482" i="7" s="1"/>
  <c r="I1480" i="7"/>
  <c r="I1482" i="7" s="1"/>
  <c r="F1480" i="7"/>
  <c r="E1480" i="7"/>
  <c r="E1482" i="7" s="1"/>
  <c r="D1480" i="7"/>
  <c r="D1482" i="7" s="1"/>
  <c r="C1480" i="7"/>
  <c r="C1482" i="7" s="1"/>
  <c r="J1473" i="7"/>
  <c r="J1475" i="7" s="1"/>
  <c r="I1473" i="7"/>
  <c r="I1475" i="7" s="1"/>
  <c r="F1473" i="7"/>
  <c r="E1473" i="7"/>
  <c r="E1475" i="7" s="1"/>
  <c r="D1473" i="7"/>
  <c r="D1475" i="7" s="1"/>
  <c r="C1473" i="7"/>
  <c r="C1475" i="7" s="1"/>
  <c r="H1480" i="7" l="1"/>
  <c r="H1482" i="7" s="1"/>
  <c r="F1482" i="7"/>
  <c r="H1495" i="7"/>
  <c r="H1497" i="7" s="1"/>
  <c r="F1497" i="7"/>
  <c r="H1473" i="7"/>
  <c r="H1475" i="7" s="1"/>
  <c r="F1475" i="7"/>
  <c r="H1488" i="7"/>
  <c r="H1490" i="7" s="1"/>
  <c r="F1490" i="7"/>
  <c r="G1132" i="7"/>
  <c r="G1131" i="7"/>
  <c r="C170" i="7"/>
  <c r="J1479" i="7"/>
  <c r="J1483" i="7" s="1"/>
  <c r="F1479" i="7"/>
  <c r="F1483" i="7" s="1"/>
  <c r="H1479" i="7"/>
  <c r="E1479" i="7"/>
  <c r="E1483" i="7" s="1"/>
  <c r="C1479" i="7"/>
  <c r="C1483" i="7" s="1"/>
  <c r="D1479" i="7"/>
  <c r="D1483" i="7" s="1"/>
  <c r="I1479" i="7"/>
  <c r="I1483" i="7" s="1"/>
  <c r="E1472" i="7"/>
  <c r="E1476" i="7" s="1"/>
  <c r="F1472" i="7"/>
  <c r="F1476" i="7" s="1"/>
  <c r="C1472" i="7"/>
  <c r="C1476" i="7" s="1"/>
  <c r="H1472" i="7"/>
  <c r="J1472" i="7"/>
  <c r="J1476" i="7" s="1"/>
  <c r="D1472" i="7"/>
  <c r="D1476" i="7" s="1"/>
  <c r="I1472" i="7"/>
  <c r="I1476" i="7" s="1"/>
  <c r="D1494" i="7"/>
  <c r="D1498" i="7" s="1"/>
  <c r="I1494" i="7"/>
  <c r="I1498" i="7" s="1"/>
  <c r="E1494" i="7"/>
  <c r="E1498" i="7" s="1"/>
  <c r="J1494" i="7"/>
  <c r="J1498" i="7" s="1"/>
  <c r="F1494" i="7"/>
  <c r="F1498" i="7" s="1"/>
  <c r="C1494" i="7"/>
  <c r="C1498" i="7" s="1"/>
  <c r="H1494" i="7"/>
  <c r="H1498" i="7" s="1"/>
  <c r="J1487" i="7"/>
  <c r="J1491" i="7" s="1"/>
  <c r="G1487" i="7"/>
  <c r="G1491" i="7" s="1"/>
  <c r="H1487" i="7"/>
  <c r="H1491" i="7" s="1"/>
  <c r="I1487" i="7"/>
  <c r="I1491" i="7" s="1"/>
  <c r="F1487" i="7"/>
  <c r="F1491" i="7" s="1"/>
  <c r="D1487" i="7"/>
  <c r="D1491" i="7" s="1"/>
  <c r="C1487" i="7"/>
  <c r="C1491" i="7" s="1"/>
  <c r="E1487" i="7"/>
  <c r="E1491" i="7" s="1"/>
  <c r="C100" i="7"/>
  <c r="C156" i="7"/>
  <c r="C93" i="7"/>
  <c r="C72" i="7"/>
  <c r="C114" i="7"/>
  <c r="C163" i="7"/>
  <c r="C177" i="7"/>
  <c r="C184" i="7"/>
  <c r="C135" i="7"/>
  <c r="C187" i="7"/>
  <c r="C191" i="7" s="1"/>
  <c r="C128" i="7"/>
  <c r="C79" i="7"/>
  <c r="C51" i="7"/>
  <c r="C121" i="7"/>
  <c r="C142" i="7"/>
  <c r="C44" i="7"/>
  <c r="C86" i="7"/>
  <c r="J1466" i="7"/>
  <c r="J1468" i="7" s="1"/>
  <c r="I1466" i="7"/>
  <c r="I1468" i="7" s="1"/>
  <c r="G1466" i="7"/>
  <c r="G1468" i="7" s="1"/>
  <c r="F1466" i="7"/>
  <c r="F1468" i="7" s="1"/>
  <c r="E1466" i="7"/>
  <c r="E1468" i="7" s="1"/>
  <c r="D1466" i="7"/>
  <c r="D1468" i="7" s="1"/>
  <c r="C1466" i="7"/>
  <c r="C1468" i="7" s="1"/>
  <c r="H1476" i="7" l="1"/>
  <c r="H1483" i="7"/>
  <c r="J1465" i="7"/>
  <c r="J1469" i="7" s="1"/>
  <c r="D1465" i="7"/>
  <c r="D1469" i="7" s="1"/>
  <c r="G1465" i="7"/>
  <c r="G1469" i="7" s="1"/>
  <c r="I1465" i="7"/>
  <c r="I1469" i="7" s="1"/>
  <c r="E1465" i="7"/>
  <c r="E1469" i="7" s="1"/>
  <c r="C1465" i="7"/>
  <c r="C1469" i="7" s="1"/>
  <c r="H1465" i="7"/>
  <c r="F1465" i="7"/>
  <c r="F1469" i="7" s="1"/>
  <c r="H1466" i="7"/>
  <c r="H1468" i="7" s="1"/>
  <c r="J1459" i="7"/>
  <c r="I1459" i="7"/>
  <c r="I1461" i="7" s="1"/>
  <c r="G1459" i="7"/>
  <c r="G1461" i="7" s="1"/>
  <c r="F1459" i="7"/>
  <c r="E1459" i="7"/>
  <c r="E1461" i="7" s="1"/>
  <c r="D1459" i="7"/>
  <c r="D1461" i="7" s="1"/>
  <c r="C1459" i="7"/>
  <c r="C1461" i="7" s="1"/>
  <c r="J1452" i="7"/>
  <c r="I1452" i="7"/>
  <c r="I1454" i="7" s="1"/>
  <c r="G1452" i="7"/>
  <c r="G1454" i="7" s="1"/>
  <c r="F1452" i="7"/>
  <c r="E1452" i="7"/>
  <c r="E1454" i="7" s="1"/>
  <c r="D1452" i="7"/>
  <c r="D1454" i="7" s="1"/>
  <c r="C1452" i="7"/>
  <c r="C1454" i="7" s="1"/>
  <c r="K1459" i="7" l="1"/>
  <c r="K1461" i="7" s="1"/>
  <c r="J1461" i="7"/>
  <c r="K1452" i="7"/>
  <c r="K1454" i="7" s="1"/>
  <c r="J1454" i="7"/>
  <c r="H1459" i="7"/>
  <c r="H1461" i="7" s="1"/>
  <c r="F1461" i="7"/>
  <c r="H1452" i="7"/>
  <c r="H1454" i="7" s="1"/>
  <c r="F1454" i="7"/>
  <c r="H1469" i="7"/>
  <c r="F1458" i="7"/>
  <c r="F1462" i="7" s="1"/>
  <c r="I1458" i="7"/>
  <c r="I1462" i="7" s="1"/>
  <c r="E1458" i="7"/>
  <c r="E1462" i="7" s="1"/>
  <c r="J1458" i="7"/>
  <c r="J1462" i="7" s="1"/>
  <c r="C1458" i="7"/>
  <c r="C1462" i="7" s="1"/>
  <c r="H1458" i="7"/>
  <c r="D1458" i="7"/>
  <c r="D1462" i="7" s="1"/>
  <c r="K1458" i="7"/>
  <c r="K1462" i="7" s="1"/>
  <c r="G1458" i="7"/>
  <c r="G1462" i="7" s="1"/>
  <c r="E1451" i="7"/>
  <c r="E1455" i="7" s="1"/>
  <c r="C1451" i="7"/>
  <c r="C1455" i="7" s="1"/>
  <c r="H1451" i="7"/>
  <c r="D1451" i="7"/>
  <c r="D1455" i="7" s="1"/>
  <c r="I1451" i="7"/>
  <c r="I1455" i="7" s="1"/>
  <c r="K1451" i="7"/>
  <c r="G1451" i="7"/>
  <c r="G1455" i="7" s="1"/>
  <c r="J1451" i="7"/>
  <c r="J1455" i="7" s="1"/>
  <c r="F1451" i="7"/>
  <c r="F1455" i="7" s="1"/>
  <c r="J1445" i="7"/>
  <c r="I1445" i="7"/>
  <c r="I1447" i="7" s="1"/>
  <c r="G1445" i="7"/>
  <c r="G1447" i="7" s="1"/>
  <c r="F1445" i="7"/>
  <c r="E1445" i="7"/>
  <c r="E1447" i="7" s="1"/>
  <c r="D1445" i="7"/>
  <c r="D1447" i="7" s="1"/>
  <c r="C1445" i="7"/>
  <c r="C1447" i="7" s="1"/>
  <c r="I1438" i="7"/>
  <c r="G1438" i="7"/>
  <c r="G1440" i="7" s="1"/>
  <c r="F1438" i="7"/>
  <c r="E1438" i="7"/>
  <c r="E1440" i="7" s="1"/>
  <c r="D1438" i="7"/>
  <c r="D1440" i="7" s="1"/>
  <c r="C1438" i="7"/>
  <c r="C1440" i="7" s="1"/>
  <c r="J1431" i="7"/>
  <c r="I1431" i="7"/>
  <c r="I1433" i="7" s="1"/>
  <c r="G1431" i="7"/>
  <c r="G1433" i="7" s="1"/>
  <c r="F1431" i="7"/>
  <c r="E1431" i="7"/>
  <c r="E1433" i="7" s="1"/>
  <c r="D1431" i="7"/>
  <c r="D1433" i="7" s="1"/>
  <c r="J1423" i="7"/>
  <c r="J1425" i="7" s="1"/>
  <c r="I1423" i="7"/>
  <c r="I1425" i="7" s="1"/>
  <c r="F1423" i="7"/>
  <c r="E1423" i="7"/>
  <c r="E1425" i="7" s="1"/>
  <c r="D1423" i="7"/>
  <c r="D1425" i="7" s="1"/>
  <c r="C1423" i="7"/>
  <c r="C1425" i="7" s="1"/>
  <c r="J1416" i="7"/>
  <c r="I1416" i="7"/>
  <c r="I1418" i="7" s="1"/>
  <c r="G1416" i="7"/>
  <c r="G1418" i="7" s="1"/>
  <c r="F1416" i="7"/>
  <c r="E1416" i="7"/>
  <c r="E1418" i="7" s="1"/>
  <c r="D1416" i="7"/>
  <c r="D1418" i="7" s="1"/>
  <c r="C1416" i="7"/>
  <c r="C1418" i="7" s="1"/>
  <c r="D1409" i="7"/>
  <c r="D1411" i="7" s="1"/>
  <c r="J1409" i="7"/>
  <c r="I1409" i="7"/>
  <c r="I1411" i="7" s="1"/>
  <c r="F1409" i="7"/>
  <c r="G1409" i="7"/>
  <c r="G1411" i="7" s="1"/>
  <c r="E1409" i="7"/>
  <c r="E1411" i="7" s="1"/>
  <c r="C1409" i="7"/>
  <c r="C1411" i="7" s="1"/>
  <c r="J1402" i="7"/>
  <c r="I1402" i="7"/>
  <c r="I1404" i="7" s="1"/>
  <c r="G1402" i="7"/>
  <c r="G1404" i="7" s="1"/>
  <c r="F1402" i="7"/>
  <c r="F1404" i="7" s="1"/>
  <c r="E1402" i="7"/>
  <c r="E1404" i="7" s="1"/>
  <c r="D1402" i="7"/>
  <c r="D1404" i="7" s="1"/>
  <c r="C1402" i="7"/>
  <c r="C1404" i="7" s="1"/>
  <c r="K1455" i="7" l="1"/>
  <c r="H1455" i="7"/>
  <c r="K1409" i="7"/>
  <c r="K1411" i="7" s="1"/>
  <c r="J1411" i="7"/>
  <c r="K1416" i="7"/>
  <c r="K1418" i="7" s="1"/>
  <c r="J1418" i="7"/>
  <c r="H1423" i="7"/>
  <c r="H1425" i="7" s="1"/>
  <c r="F1425" i="7"/>
  <c r="K1431" i="7"/>
  <c r="K1433" i="7" s="1"/>
  <c r="J1433" i="7"/>
  <c r="H1438" i="7"/>
  <c r="H1440" i="7" s="1"/>
  <c r="F1440" i="7"/>
  <c r="H1416" i="7"/>
  <c r="H1418" i="7" s="1"/>
  <c r="F1418" i="7"/>
  <c r="H1431" i="7"/>
  <c r="H1433" i="7" s="1"/>
  <c r="F1433" i="7"/>
  <c r="K1445" i="7"/>
  <c r="K1447" i="7" s="1"/>
  <c r="J1447" i="7"/>
  <c r="K1402" i="7"/>
  <c r="K1404" i="7" s="1"/>
  <c r="J1404" i="7"/>
  <c r="H1409" i="7"/>
  <c r="H1411" i="7" s="1"/>
  <c r="F1411" i="7"/>
  <c r="J1438" i="7"/>
  <c r="J1440" i="7" s="1"/>
  <c r="I1440" i="7"/>
  <c r="H1445" i="7"/>
  <c r="H1447" i="7" s="1"/>
  <c r="F1447" i="7"/>
  <c r="H1462" i="7"/>
  <c r="E1444" i="7"/>
  <c r="E1448" i="7" s="1"/>
  <c r="J1444" i="7"/>
  <c r="J1448" i="7" s="1"/>
  <c r="D1444" i="7"/>
  <c r="D1448" i="7" s="1"/>
  <c r="F1444" i="7"/>
  <c r="F1448" i="7" s="1"/>
  <c r="I1444" i="7"/>
  <c r="I1448" i="7" s="1"/>
  <c r="H1444" i="7"/>
  <c r="H1448" i="7" s="1"/>
  <c r="C1444" i="7"/>
  <c r="C1448" i="7" s="1"/>
  <c r="K1444" i="7"/>
  <c r="G1444" i="7"/>
  <c r="G1448" i="7" s="1"/>
  <c r="I1430" i="7"/>
  <c r="I1434" i="7" s="1"/>
  <c r="H1430" i="7"/>
  <c r="G1430" i="7"/>
  <c r="G1434" i="7" s="1"/>
  <c r="J1430" i="7"/>
  <c r="J1434" i="7" s="1"/>
  <c r="F1430" i="7"/>
  <c r="F1434" i="7" s="1"/>
  <c r="C1401" i="7"/>
  <c r="C1405" i="7" s="1"/>
  <c r="G1401" i="7"/>
  <c r="G1405" i="7" s="1"/>
  <c r="D1401" i="7"/>
  <c r="D1405" i="7" s="1"/>
  <c r="K1401" i="7"/>
  <c r="F1401" i="7"/>
  <c r="F1405" i="7" s="1"/>
  <c r="E1401" i="7"/>
  <c r="E1405" i="7" s="1"/>
  <c r="J1401" i="7"/>
  <c r="J1405" i="7" s="1"/>
  <c r="H1401" i="7"/>
  <c r="I1401" i="7"/>
  <c r="I1405" i="7" s="1"/>
  <c r="I1415" i="7"/>
  <c r="I1419" i="7" s="1"/>
  <c r="E1415" i="7"/>
  <c r="E1419" i="7" s="1"/>
  <c r="H1415" i="7"/>
  <c r="H1419" i="7" s="1"/>
  <c r="C1415" i="7"/>
  <c r="C1419" i="7" s="1"/>
  <c r="G1415" i="7"/>
  <c r="G1419" i="7" s="1"/>
  <c r="K1415" i="7"/>
  <c r="F1415" i="7"/>
  <c r="F1419" i="7" s="1"/>
  <c r="H1408" i="7"/>
  <c r="G1408" i="7"/>
  <c r="G1412" i="7" s="1"/>
  <c r="D1408" i="7"/>
  <c r="D1412" i="7" s="1"/>
  <c r="C1408" i="7"/>
  <c r="C1412" i="7" s="1"/>
  <c r="F1408" i="7"/>
  <c r="F1412" i="7" s="1"/>
  <c r="K1408" i="7"/>
  <c r="K1412" i="7" s="1"/>
  <c r="E1408" i="7"/>
  <c r="E1412" i="7" s="1"/>
  <c r="H1402" i="7"/>
  <c r="H1404" i="7" s="1"/>
  <c r="H1412" i="7" l="1"/>
  <c r="K1419" i="7"/>
  <c r="K1448" i="7"/>
  <c r="H1434" i="7"/>
  <c r="K1405" i="7"/>
  <c r="H1405" i="7"/>
  <c r="J1395" i="7"/>
  <c r="I1395" i="7"/>
  <c r="I1397" i="7" s="1"/>
  <c r="G1395" i="7"/>
  <c r="G1397" i="7" s="1"/>
  <c r="F1395" i="7"/>
  <c r="E1395" i="7"/>
  <c r="E1397" i="7" s="1"/>
  <c r="D1395" i="7"/>
  <c r="D1397" i="7" s="1"/>
  <c r="C1395" i="7"/>
  <c r="C1397" i="7" s="1"/>
  <c r="J1388" i="7"/>
  <c r="I1388" i="7"/>
  <c r="I1390" i="7" s="1"/>
  <c r="G1388" i="7"/>
  <c r="G1390" i="7" s="1"/>
  <c r="F1388" i="7"/>
  <c r="E1388" i="7"/>
  <c r="E1390" i="7" s="1"/>
  <c r="D1388" i="7"/>
  <c r="D1390" i="7" s="1"/>
  <c r="C1388" i="7"/>
  <c r="C1390" i="7" s="1"/>
  <c r="J1381" i="7"/>
  <c r="I1381" i="7"/>
  <c r="I1383" i="7" s="1"/>
  <c r="G1381" i="7"/>
  <c r="G1383" i="7" s="1"/>
  <c r="F1381" i="7"/>
  <c r="E1381" i="7"/>
  <c r="E1383" i="7" s="1"/>
  <c r="D1381" i="7"/>
  <c r="D1383" i="7" s="1"/>
  <c r="C1381" i="7"/>
  <c r="C1383" i="7" s="1"/>
  <c r="K1381" i="7" l="1"/>
  <c r="K1383" i="7" s="1"/>
  <c r="J1383" i="7"/>
  <c r="H1388" i="7"/>
  <c r="H1390" i="7" s="1"/>
  <c r="F1390" i="7"/>
  <c r="H1381" i="7"/>
  <c r="H1383" i="7" s="1"/>
  <c r="F1383" i="7"/>
  <c r="K1395" i="7"/>
  <c r="K1397" i="7" s="1"/>
  <c r="J1397" i="7"/>
  <c r="K1388" i="7"/>
  <c r="K1390" i="7" s="1"/>
  <c r="J1390" i="7"/>
  <c r="H1395" i="7"/>
  <c r="H1397" i="7" s="1"/>
  <c r="F1397" i="7"/>
  <c r="K1394" i="7"/>
  <c r="G1394" i="7"/>
  <c r="G1398" i="7" s="1"/>
  <c r="J1394" i="7"/>
  <c r="J1398" i="7" s="1"/>
  <c r="F1394" i="7"/>
  <c r="F1398" i="7" s="1"/>
  <c r="I1394" i="7"/>
  <c r="I1398" i="7" s="1"/>
  <c r="E1394" i="7"/>
  <c r="E1398" i="7" s="1"/>
  <c r="C1394" i="7"/>
  <c r="C1398" i="7" s="1"/>
  <c r="H1394" i="7"/>
  <c r="D1394" i="7"/>
  <c r="D1398" i="7" s="1"/>
  <c r="F1387" i="7"/>
  <c r="F1391" i="7" s="1"/>
  <c r="J1387" i="7"/>
  <c r="J1391" i="7" s="1"/>
  <c r="E1387" i="7"/>
  <c r="E1391" i="7" s="1"/>
  <c r="K1387" i="7"/>
  <c r="I1387" i="7"/>
  <c r="I1391" i="7" s="1"/>
  <c r="D1387" i="7"/>
  <c r="D1391" i="7" s="1"/>
  <c r="C1387" i="7"/>
  <c r="C1391" i="7" s="1"/>
  <c r="G1387" i="7"/>
  <c r="G1391" i="7" s="1"/>
  <c r="H1380" i="7"/>
  <c r="F1380" i="7"/>
  <c r="F1384" i="7" s="1"/>
  <c r="E1380" i="7"/>
  <c r="E1384" i="7" s="1"/>
  <c r="K1380" i="7"/>
  <c r="K1384" i="7" s="1"/>
  <c r="G1380" i="7"/>
  <c r="G1384" i="7" s="1"/>
  <c r="C1380" i="7"/>
  <c r="C1384" i="7" s="1"/>
  <c r="I1380" i="7"/>
  <c r="I1384" i="7" s="1"/>
  <c r="D1380" i="7"/>
  <c r="D1384" i="7" s="1"/>
  <c r="J1380" i="7"/>
  <c r="J1384" i="7" s="1"/>
  <c r="H1398" i="7" l="1"/>
  <c r="K1391" i="7"/>
  <c r="K1398" i="7"/>
  <c r="H1384" i="7"/>
  <c r="J1365" i="7" l="1"/>
  <c r="J1367" i="7" s="1"/>
  <c r="I1365" i="7"/>
  <c r="I1367" i="7" s="1"/>
  <c r="F1365" i="7"/>
  <c r="E1365" i="7"/>
  <c r="E1367" i="7" s="1"/>
  <c r="D1365" i="7"/>
  <c r="D1367" i="7" s="1"/>
  <c r="C1365" i="7"/>
  <c r="C1367" i="7" s="1"/>
  <c r="J1358" i="7"/>
  <c r="J1360" i="7" s="1"/>
  <c r="I1358" i="7"/>
  <c r="I1360" i="7" s="1"/>
  <c r="F1358" i="7"/>
  <c r="E1358" i="7"/>
  <c r="E1360" i="7" s="1"/>
  <c r="D1358" i="7"/>
  <c r="D1360" i="7" s="1"/>
  <c r="C1358" i="7"/>
  <c r="C1360" i="7" s="1"/>
  <c r="H1358" i="7" l="1"/>
  <c r="H1360" i="7" s="1"/>
  <c r="F1360" i="7"/>
  <c r="H1365" i="7"/>
  <c r="H1367" i="7" s="1"/>
  <c r="F1367" i="7"/>
  <c r="D1364" i="7"/>
  <c r="D1368" i="7" s="1"/>
  <c r="F1364" i="7"/>
  <c r="F1368" i="7" s="1"/>
  <c r="H1364" i="7"/>
  <c r="C1364" i="7"/>
  <c r="C1368" i="7" s="1"/>
  <c r="E1364" i="7"/>
  <c r="E1368" i="7" s="1"/>
  <c r="J1364" i="7"/>
  <c r="J1368" i="7" s="1"/>
  <c r="I1364" i="7"/>
  <c r="I1368" i="7" s="1"/>
  <c r="D1357" i="7"/>
  <c r="D1361" i="7" s="1"/>
  <c r="I1357" i="7"/>
  <c r="I1361" i="7" s="1"/>
  <c r="E1357" i="7"/>
  <c r="E1361" i="7" s="1"/>
  <c r="J1357" i="7"/>
  <c r="J1361" i="7" s="1"/>
  <c r="F1357" i="7"/>
  <c r="F1361" i="7" s="1"/>
  <c r="C1357" i="7"/>
  <c r="C1361" i="7" s="1"/>
  <c r="H1357" i="7"/>
  <c r="J1351" i="7"/>
  <c r="K1351" i="7" s="1"/>
  <c r="I1351" i="7"/>
  <c r="G1351" i="7"/>
  <c r="F1351" i="7"/>
  <c r="H1351" i="7" s="1"/>
  <c r="E1351" i="7"/>
  <c r="D1351" i="7"/>
  <c r="C1351" i="7"/>
  <c r="J1344" i="7"/>
  <c r="I1344" i="7"/>
  <c r="I1346" i="7" s="1"/>
  <c r="G1344" i="7"/>
  <c r="G1346" i="7" s="1"/>
  <c r="F1344" i="7"/>
  <c r="E1344" i="7"/>
  <c r="E1346" i="7" s="1"/>
  <c r="D1344" i="7"/>
  <c r="D1346" i="7" s="1"/>
  <c r="C1344" i="7"/>
  <c r="C1346" i="7" s="1"/>
  <c r="J1337" i="7"/>
  <c r="J1339" i="7" s="1"/>
  <c r="I1337" i="7"/>
  <c r="I1339" i="7" s="1"/>
  <c r="G1337" i="7"/>
  <c r="G1339" i="7" s="1"/>
  <c r="F1337" i="7"/>
  <c r="E1337" i="7"/>
  <c r="E1339" i="7" s="1"/>
  <c r="D1337" i="7"/>
  <c r="D1339" i="7" s="1"/>
  <c r="C1337" i="7"/>
  <c r="C1339" i="7" s="1"/>
  <c r="G1330" i="7"/>
  <c r="G1332" i="7" s="1"/>
  <c r="G1323" i="7"/>
  <c r="G1325" i="7" s="1"/>
  <c r="J1330" i="7"/>
  <c r="J1332" i="7" s="1"/>
  <c r="I1330" i="7"/>
  <c r="I1332" i="7" s="1"/>
  <c r="I1323" i="7"/>
  <c r="I1325" i="7" s="1"/>
  <c r="F1330" i="7"/>
  <c r="F1332" i="7" s="1"/>
  <c r="E1330" i="7"/>
  <c r="E1332" i="7" s="1"/>
  <c r="C1330" i="7"/>
  <c r="C1332" i="7" s="1"/>
  <c r="D1330" i="7"/>
  <c r="D1332" i="7" s="1"/>
  <c r="H1368" i="7" l="1"/>
  <c r="H1344" i="7"/>
  <c r="H1346" i="7" s="1"/>
  <c r="F1346" i="7"/>
  <c r="H1337" i="7"/>
  <c r="H1339" i="7" s="1"/>
  <c r="F1339" i="7"/>
  <c r="K1344" i="7"/>
  <c r="K1346" i="7" s="1"/>
  <c r="J1346" i="7"/>
  <c r="H1361" i="7"/>
  <c r="E1343" i="7"/>
  <c r="E1347" i="7" s="1"/>
  <c r="J1343" i="7"/>
  <c r="J1347" i="7" s="1"/>
  <c r="D1343" i="7"/>
  <c r="D1347" i="7" s="1"/>
  <c r="F1343" i="7"/>
  <c r="F1347" i="7" s="1"/>
  <c r="K1343" i="7"/>
  <c r="G1343" i="7"/>
  <c r="G1347" i="7" s="1"/>
  <c r="C1343" i="7"/>
  <c r="C1347" i="7" s="1"/>
  <c r="I1343" i="7"/>
  <c r="I1347" i="7" s="1"/>
  <c r="H1343" i="7"/>
  <c r="E1336" i="7"/>
  <c r="E1340" i="7" s="1"/>
  <c r="I1336" i="7"/>
  <c r="I1340" i="7" s="1"/>
  <c r="G1336" i="7"/>
  <c r="G1340" i="7" s="1"/>
  <c r="H1336" i="7"/>
  <c r="J1336" i="7"/>
  <c r="J1340" i="7" s="1"/>
  <c r="F1336" i="7"/>
  <c r="F1340" i="7" s="1"/>
  <c r="C1336" i="7"/>
  <c r="C1340" i="7" s="1"/>
  <c r="D1336" i="7"/>
  <c r="D1340" i="7" s="1"/>
  <c r="H1350" i="7"/>
  <c r="J1350" i="7"/>
  <c r="G1350" i="7"/>
  <c r="F1350" i="7"/>
  <c r="I1350" i="7"/>
  <c r="D1350" i="7"/>
  <c r="E1350" i="7"/>
  <c r="K1350" i="7"/>
  <c r="C1350" i="7"/>
  <c r="H1340" i="7" l="1"/>
  <c r="H1347" i="7"/>
  <c r="K1347" i="7"/>
  <c r="K1330" i="7"/>
  <c r="K1332" i="7" s="1"/>
  <c r="H1330" i="7"/>
  <c r="H1332" i="7" s="1"/>
  <c r="J1323" i="7"/>
  <c r="F1323" i="7"/>
  <c r="E1323" i="7"/>
  <c r="E1325" i="7" s="1"/>
  <c r="D1323" i="7"/>
  <c r="D1325" i="7" s="1"/>
  <c r="C1323" i="7"/>
  <c r="C1325" i="7" s="1"/>
  <c r="H1323" i="7" l="1"/>
  <c r="H1325" i="7" s="1"/>
  <c r="F1325" i="7"/>
  <c r="K1323" i="7"/>
  <c r="K1325" i="7" s="1"/>
  <c r="J1325" i="7"/>
  <c r="E1329" i="7"/>
  <c r="E1333" i="7" s="1"/>
  <c r="D1329" i="7"/>
  <c r="D1333" i="7" s="1"/>
  <c r="K1329" i="7"/>
  <c r="K1333" i="7" s="1"/>
  <c r="G1329" i="7"/>
  <c r="G1333" i="7" s="1"/>
  <c r="I1329" i="7"/>
  <c r="I1333" i="7" s="1"/>
  <c r="C1329" i="7"/>
  <c r="C1333" i="7" s="1"/>
  <c r="H1329" i="7"/>
  <c r="H1333" i="7" s="1"/>
  <c r="J1329" i="7"/>
  <c r="J1333" i="7" s="1"/>
  <c r="F1329" i="7"/>
  <c r="F1333" i="7" s="1"/>
  <c r="K1322" i="7"/>
  <c r="F1322" i="7"/>
  <c r="F1326" i="7" s="1"/>
  <c r="J1322" i="7"/>
  <c r="J1326" i="7" s="1"/>
  <c r="E1322" i="7"/>
  <c r="E1326" i="7" s="1"/>
  <c r="I1322" i="7"/>
  <c r="I1326" i="7" s="1"/>
  <c r="D1322" i="7"/>
  <c r="D1326" i="7" s="1"/>
  <c r="G1322" i="7"/>
  <c r="G1326" i="7" s="1"/>
  <c r="J1316" i="7"/>
  <c r="I1316" i="7"/>
  <c r="I1318" i="7" s="1"/>
  <c r="G1316" i="7"/>
  <c r="G1318" i="7" s="1"/>
  <c r="F1316" i="7"/>
  <c r="E1316" i="7"/>
  <c r="E1318" i="7" s="1"/>
  <c r="D1316" i="7"/>
  <c r="D1318" i="7" s="1"/>
  <c r="C1316" i="7"/>
  <c r="C1318" i="7" s="1"/>
  <c r="J1309" i="7"/>
  <c r="I1309" i="7"/>
  <c r="I1311" i="7" s="1"/>
  <c r="G1309" i="7"/>
  <c r="G1311" i="7" s="1"/>
  <c r="F1309" i="7"/>
  <c r="E1309" i="7"/>
  <c r="E1311" i="7" s="1"/>
  <c r="D1309" i="7"/>
  <c r="D1311" i="7" s="1"/>
  <c r="C1309" i="7"/>
  <c r="C1311" i="7" s="1"/>
  <c r="K1326" i="7" l="1"/>
  <c r="K1316" i="7"/>
  <c r="K1318" i="7" s="1"/>
  <c r="J1318" i="7"/>
  <c r="K1309" i="7"/>
  <c r="K1311" i="7" s="1"/>
  <c r="J1311" i="7"/>
  <c r="H1316" i="7"/>
  <c r="H1318" i="7" s="1"/>
  <c r="F1318" i="7"/>
  <c r="H1309" i="7"/>
  <c r="H1311" i="7" s="1"/>
  <c r="F1311" i="7"/>
  <c r="C1322" i="7"/>
  <c r="C1326" i="7" s="1"/>
  <c r="I1308" i="7"/>
  <c r="I1312" i="7" s="1"/>
  <c r="H1308" i="7"/>
  <c r="D1308" i="7"/>
  <c r="D1312" i="7" s="1"/>
  <c r="K1308" i="7"/>
  <c r="G1308" i="7"/>
  <c r="G1312" i="7" s="1"/>
  <c r="C1308" i="7"/>
  <c r="C1312" i="7" s="1"/>
  <c r="F1308" i="7"/>
  <c r="F1312" i="7" s="1"/>
  <c r="J1308" i="7"/>
  <c r="J1312" i="7" s="1"/>
  <c r="E1308" i="7"/>
  <c r="E1312" i="7" s="1"/>
  <c r="J1301" i="7"/>
  <c r="J1303" i="7" s="1"/>
  <c r="I1301" i="7"/>
  <c r="I1303" i="7" s="1"/>
  <c r="F1301" i="7"/>
  <c r="E1301" i="7"/>
  <c r="E1303" i="7" s="1"/>
  <c r="D1301" i="7"/>
  <c r="D1303" i="7" s="1"/>
  <c r="C1301" i="7"/>
  <c r="C1303" i="7" s="1"/>
  <c r="J1294" i="7"/>
  <c r="J1296" i="7" s="1"/>
  <c r="I1294" i="7"/>
  <c r="I1296" i="7" s="1"/>
  <c r="F1294" i="7"/>
  <c r="E1294" i="7"/>
  <c r="E1296" i="7" s="1"/>
  <c r="D1294" i="7"/>
  <c r="D1296" i="7" s="1"/>
  <c r="C1294" i="7"/>
  <c r="C1296" i="7" s="1"/>
  <c r="H1312" i="7" l="1"/>
  <c r="K1312" i="7"/>
  <c r="H1301" i="7"/>
  <c r="H1303" i="7" s="1"/>
  <c r="F1303" i="7"/>
  <c r="H1294" i="7"/>
  <c r="H1296" i="7" s="1"/>
  <c r="F1296" i="7"/>
  <c r="C1293" i="7"/>
  <c r="C1297" i="7" s="1"/>
  <c r="H1293" i="7"/>
  <c r="I1293" i="7"/>
  <c r="I1297" i="7" s="1"/>
  <c r="J1293" i="7"/>
  <c r="J1297" i="7" s="1"/>
  <c r="F1293" i="7"/>
  <c r="F1297" i="7" s="1"/>
  <c r="D1293" i="7"/>
  <c r="D1297" i="7" s="1"/>
  <c r="E1293" i="7"/>
  <c r="E1297" i="7" s="1"/>
  <c r="E1300" i="7"/>
  <c r="E1304" i="7" s="1"/>
  <c r="D1300" i="7"/>
  <c r="D1304" i="7" s="1"/>
  <c r="C1300" i="7"/>
  <c r="C1304" i="7" s="1"/>
  <c r="H1300" i="7"/>
  <c r="I1300" i="7"/>
  <c r="I1304" i="7" s="1"/>
  <c r="J1300" i="7"/>
  <c r="J1304" i="7" s="1"/>
  <c r="F1300" i="7"/>
  <c r="F1304" i="7" s="1"/>
  <c r="J1287" i="7"/>
  <c r="J1289" i="7" s="1"/>
  <c r="I1287" i="7"/>
  <c r="I1289" i="7" s="1"/>
  <c r="G1287" i="7"/>
  <c r="G1289" i="7" s="1"/>
  <c r="F1287" i="7"/>
  <c r="E1287" i="7"/>
  <c r="E1289" i="7" s="1"/>
  <c r="D1287" i="7"/>
  <c r="D1289" i="7" s="1"/>
  <c r="C1287" i="7"/>
  <c r="C1289" i="7" s="1"/>
  <c r="H1297" i="7" l="1"/>
  <c r="H1287" i="7"/>
  <c r="H1289" i="7" s="1"/>
  <c r="F1289" i="7"/>
  <c r="H1304" i="7"/>
  <c r="I1286" i="7"/>
  <c r="I1290" i="7" s="1"/>
  <c r="E1286" i="7"/>
  <c r="E1290" i="7" s="1"/>
  <c r="H1286" i="7"/>
  <c r="D1286" i="7"/>
  <c r="D1290" i="7" s="1"/>
  <c r="G1286" i="7"/>
  <c r="G1290" i="7" s="1"/>
  <c r="J1286" i="7"/>
  <c r="J1290" i="7" s="1"/>
  <c r="F1286" i="7"/>
  <c r="F1290" i="7" s="1"/>
  <c r="H1290" i="7" l="1"/>
  <c r="C1286" i="7"/>
  <c r="C1290" i="7" s="1"/>
  <c r="J1280" i="7"/>
  <c r="J1282" i="7" s="1"/>
  <c r="I1280" i="7"/>
  <c r="I1282" i="7" s="1"/>
  <c r="G1280" i="7"/>
  <c r="G1282" i="7" s="1"/>
  <c r="F1280" i="7"/>
  <c r="E1280" i="7"/>
  <c r="E1282" i="7" s="1"/>
  <c r="D1280" i="7"/>
  <c r="D1282" i="7" s="1"/>
  <c r="C1280" i="7"/>
  <c r="C1282" i="7" s="1"/>
  <c r="J1265" i="7"/>
  <c r="J1267" i="7" s="1"/>
  <c r="I1265" i="7"/>
  <c r="I1267" i="7" s="1"/>
  <c r="F1265" i="7"/>
  <c r="E1265" i="7"/>
  <c r="E1267" i="7" s="1"/>
  <c r="D1265" i="7"/>
  <c r="D1267" i="7" s="1"/>
  <c r="C1265" i="7"/>
  <c r="C1267" i="7" s="1"/>
  <c r="H1280" i="7" l="1"/>
  <c r="H1282" i="7" s="1"/>
  <c r="F1282" i="7"/>
  <c r="H1265" i="7"/>
  <c r="H1267" i="7" s="1"/>
  <c r="F1267" i="7"/>
  <c r="H1279" i="7"/>
  <c r="H1283" i="7" s="1"/>
  <c r="J1279" i="7"/>
  <c r="J1283" i="7" s="1"/>
  <c r="F1279" i="7"/>
  <c r="F1283" i="7" s="1"/>
  <c r="J1257" i="7"/>
  <c r="I1257" i="7"/>
  <c r="I1259" i="7" s="1"/>
  <c r="G1257" i="7"/>
  <c r="G1259" i="7" s="1"/>
  <c r="F1257" i="7"/>
  <c r="E1257" i="7"/>
  <c r="E1259" i="7" s="1"/>
  <c r="D1257" i="7"/>
  <c r="D1259" i="7" s="1"/>
  <c r="C1257" i="7"/>
  <c r="C1259" i="7" s="1"/>
  <c r="J1250" i="7"/>
  <c r="K1250" i="7" s="1"/>
  <c r="I1250" i="7"/>
  <c r="G1250" i="7"/>
  <c r="F1250" i="7"/>
  <c r="H1250" i="7" s="1"/>
  <c r="E1250" i="7"/>
  <c r="D1250" i="7"/>
  <c r="C1250" i="7"/>
  <c r="J1243" i="7"/>
  <c r="I1243" i="7"/>
  <c r="I1245" i="7" s="1"/>
  <c r="G1243" i="7"/>
  <c r="G1245" i="7" s="1"/>
  <c r="F1243" i="7"/>
  <c r="E1243" i="7"/>
  <c r="E1245" i="7" s="1"/>
  <c r="D1243" i="7"/>
  <c r="D1245" i="7" s="1"/>
  <c r="C1243" i="7"/>
  <c r="C1245" i="7" s="1"/>
  <c r="J1236" i="7"/>
  <c r="I1236" i="7"/>
  <c r="I1238" i="7" s="1"/>
  <c r="G1236" i="7"/>
  <c r="G1238" i="7" s="1"/>
  <c r="F1236" i="7"/>
  <c r="E1236" i="7"/>
  <c r="E1238" i="7" s="1"/>
  <c r="D1236" i="7"/>
  <c r="D1238" i="7" s="1"/>
  <c r="C1236" i="7"/>
  <c r="C1238" i="7" s="1"/>
  <c r="J1229" i="7"/>
  <c r="I1229" i="7"/>
  <c r="I1231" i="7" s="1"/>
  <c r="G1229" i="7"/>
  <c r="G1231" i="7" s="1"/>
  <c r="F1229" i="7"/>
  <c r="E1229" i="7"/>
  <c r="E1231" i="7" s="1"/>
  <c r="D1229" i="7"/>
  <c r="D1231" i="7" s="1"/>
  <c r="C1229" i="7"/>
  <c r="C1231" i="7" s="1"/>
  <c r="K1243" i="7" l="1"/>
  <c r="K1245" i="7" s="1"/>
  <c r="J1245" i="7"/>
  <c r="K1236" i="7"/>
  <c r="K1238" i="7" s="1"/>
  <c r="J1238" i="7"/>
  <c r="H1243" i="7"/>
  <c r="H1245" i="7" s="1"/>
  <c r="F1245" i="7"/>
  <c r="K1229" i="7"/>
  <c r="K1231" i="7" s="1"/>
  <c r="J1231" i="7"/>
  <c r="H1236" i="7"/>
  <c r="H1238" i="7" s="1"/>
  <c r="F1238" i="7"/>
  <c r="K1257" i="7"/>
  <c r="K1259" i="7" s="1"/>
  <c r="J1259" i="7"/>
  <c r="H1229" i="7"/>
  <c r="H1231" i="7" s="1"/>
  <c r="F1231" i="7"/>
  <c r="H1257" i="7"/>
  <c r="H1259" i="7" s="1"/>
  <c r="F1259" i="7"/>
  <c r="G1242" i="7"/>
  <c r="G1246" i="7" s="1"/>
  <c r="F1242" i="7"/>
  <c r="F1246" i="7" s="1"/>
  <c r="J1242" i="7"/>
  <c r="J1246" i="7" s="1"/>
  <c r="E1242" i="7"/>
  <c r="E1246" i="7" s="1"/>
  <c r="C1242" i="7"/>
  <c r="C1246" i="7" s="1"/>
  <c r="K1242" i="7"/>
  <c r="I1242" i="7"/>
  <c r="I1246" i="7" s="1"/>
  <c r="D1242" i="7"/>
  <c r="D1246" i="7" s="1"/>
  <c r="K1256" i="7"/>
  <c r="E1256" i="7"/>
  <c r="E1260" i="7" s="1"/>
  <c r="I1256" i="7"/>
  <c r="I1260" i="7" s="1"/>
  <c r="H1256" i="7"/>
  <c r="F1256" i="7"/>
  <c r="F1260" i="7" s="1"/>
  <c r="E1249" i="7"/>
  <c r="D1249" i="7"/>
  <c r="C1249" i="7"/>
  <c r="G1249" i="7"/>
  <c r="J1249" i="7"/>
  <c r="I1249" i="7"/>
  <c r="K1249" i="7"/>
  <c r="F1249" i="7"/>
  <c r="J1235" i="7"/>
  <c r="J1239" i="7" s="1"/>
  <c r="I1235" i="7"/>
  <c r="I1239" i="7" s="1"/>
  <c r="C1235" i="7"/>
  <c r="C1239" i="7" s="1"/>
  <c r="G1235" i="7"/>
  <c r="G1239" i="7" s="1"/>
  <c r="K1235" i="7"/>
  <c r="H1228" i="7"/>
  <c r="D1228" i="7"/>
  <c r="D1232" i="7" s="1"/>
  <c r="G1228" i="7"/>
  <c r="G1232" i="7" s="1"/>
  <c r="K1228" i="7"/>
  <c r="J1222" i="7"/>
  <c r="I1222" i="7"/>
  <c r="I1224" i="7" s="1"/>
  <c r="G1222" i="7"/>
  <c r="G1224" i="7" s="1"/>
  <c r="F1222" i="7"/>
  <c r="E1222" i="7"/>
  <c r="E1224" i="7" s="1"/>
  <c r="D1222" i="7"/>
  <c r="D1224" i="7" s="1"/>
  <c r="C1222" i="7"/>
  <c r="C1224" i="7" s="1"/>
  <c r="E1221" i="7"/>
  <c r="J1215" i="7"/>
  <c r="I1215" i="7"/>
  <c r="I1217" i="7" s="1"/>
  <c r="G1215" i="7"/>
  <c r="G1217" i="7" s="1"/>
  <c r="F1215" i="7"/>
  <c r="E1215" i="7"/>
  <c r="E1217" i="7" s="1"/>
  <c r="D1215" i="7"/>
  <c r="D1217" i="7" s="1"/>
  <c r="C1215" i="7"/>
  <c r="C1217" i="7" s="1"/>
  <c r="J1208" i="7"/>
  <c r="I1208" i="7"/>
  <c r="I1210" i="7" s="1"/>
  <c r="G1208" i="7"/>
  <c r="G1210" i="7" s="1"/>
  <c r="F1208" i="7"/>
  <c r="E1208" i="7"/>
  <c r="E1210" i="7" s="1"/>
  <c r="D1208" i="7"/>
  <c r="D1210" i="7" s="1"/>
  <c r="C1208" i="7"/>
  <c r="C1210" i="7" s="1"/>
  <c r="J1201" i="7"/>
  <c r="I1201" i="7"/>
  <c r="I1203" i="7" s="1"/>
  <c r="G1201" i="7"/>
  <c r="G1203" i="7" s="1"/>
  <c r="F1201" i="7"/>
  <c r="E1201" i="7"/>
  <c r="E1203" i="7" s="1"/>
  <c r="D1201" i="7"/>
  <c r="D1203" i="7" s="1"/>
  <c r="C1201" i="7"/>
  <c r="C1203" i="7" s="1"/>
  <c r="H1260" i="7" l="1"/>
  <c r="K1232" i="7"/>
  <c r="K1239" i="7"/>
  <c r="H1201" i="7"/>
  <c r="H1203" i="7" s="1"/>
  <c r="F1203" i="7"/>
  <c r="K1215" i="7"/>
  <c r="K1217" i="7" s="1"/>
  <c r="J1217" i="7"/>
  <c r="K1222" i="7"/>
  <c r="K1224" i="7" s="1"/>
  <c r="J1224" i="7"/>
  <c r="H1232" i="7"/>
  <c r="K1208" i="7"/>
  <c r="K1210" i="7" s="1"/>
  <c r="J1210" i="7"/>
  <c r="H1215" i="7"/>
  <c r="H1217" i="7" s="1"/>
  <c r="F1217" i="7"/>
  <c r="H1222" i="7"/>
  <c r="H1224" i="7" s="1"/>
  <c r="F1224" i="7"/>
  <c r="K1246" i="7"/>
  <c r="K1201" i="7"/>
  <c r="K1203" i="7" s="1"/>
  <c r="J1203" i="7"/>
  <c r="H1208" i="7"/>
  <c r="H1210" i="7" s="1"/>
  <c r="F1210" i="7"/>
  <c r="K1260" i="7"/>
  <c r="E1225" i="7"/>
  <c r="K1221" i="7"/>
  <c r="K1225" i="7" s="1"/>
  <c r="D1221" i="7"/>
  <c r="D1225" i="7" s="1"/>
  <c r="J1221" i="7"/>
  <c r="J1225" i="7" s="1"/>
  <c r="C1221" i="7"/>
  <c r="C1225" i="7" s="1"/>
  <c r="C1228" i="7"/>
  <c r="C1232" i="7" s="1"/>
  <c r="C1214" i="7"/>
  <c r="C1218" i="7" s="1"/>
  <c r="K1214" i="7"/>
  <c r="K1218" i="7" s="1"/>
  <c r="E1214" i="7"/>
  <c r="E1218" i="7" s="1"/>
  <c r="F1214" i="7"/>
  <c r="F1218" i="7" s="1"/>
  <c r="J1214" i="7"/>
  <c r="J1218" i="7" s="1"/>
  <c r="D1214" i="7"/>
  <c r="D1218" i="7" s="1"/>
  <c r="I1214" i="7"/>
  <c r="I1218" i="7" s="1"/>
  <c r="J1179" i="7" l="1"/>
  <c r="J1181" i="7" s="1"/>
  <c r="I1179" i="7"/>
  <c r="I1181" i="7" s="1"/>
  <c r="F1179" i="7"/>
  <c r="E1179" i="7"/>
  <c r="E1181" i="7" s="1"/>
  <c r="D1179" i="7"/>
  <c r="D1181" i="7" s="1"/>
  <c r="C1179" i="7"/>
  <c r="C1181" i="7" s="1"/>
  <c r="J1172" i="7"/>
  <c r="J1174" i="7" s="1"/>
  <c r="I1172" i="7"/>
  <c r="I1174" i="7" s="1"/>
  <c r="F1172" i="7"/>
  <c r="E1172" i="7"/>
  <c r="E1174" i="7" s="1"/>
  <c r="D1172" i="7"/>
  <c r="D1174" i="7" s="1"/>
  <c r="C1172" i="7"/>
  <c r="C1174" i="7" s="1"/>
  <c r="D1165" i="7"/>
  <c r="D1167" i="7" s="1"/>
  <c r="J1165" i="7"/>
  <c r="I1165" i="7"/>
  <c r="I1167" i="7" s="1"/>
  <c r="G1165" i="7"/>
  <c r="G1167" i="7" s="1"/>
  <c r="F1165" i="7"/>
  <c r="E1165" i="7"/>
  <c r="E1167" i="7" s="1"/>
  <c r="C1165" i="7"/>
  <c r="C1167" i="7" s="1"/>
  <c r="J1157" i="7"/>
  <c r="I1157" i="7"/>
  <c r="I1159" i="7" s="1"/>
  <c r="G1157" i="7"/>
  <c r="G1159" i="7" s="1"/>
  <c r="F1157" i="7"/>
  <c r="E1157" i="7"/>
  <c r="E1159" i="7" s="1"/>
  <c r="D1157" i="7"/>
  <c r="D1159" i="7" s="1"/>
  <c r="C1157" i="7"/>
  <c r="C1159" i="7" s="1"/>
  <c r="J1150" i="7"/>
  <c r="J1152" i="7" s="1"/>
  <c r="F1150" i="7"/>
  <c r="E1150" i="7"/>
  <c r="E1152" i="7" s="1"/>
  <c r="D1150" i="7"/>
  <c r="D1152" i="7" s="1"/>
  <c r="C1150" i="7"/>
  <c r="C1152" i="7" s="1"/>
  <c r="J1143" i="7"/>
  <c r="F1143" i="7"/>
  <c r="E1143" i="7"/>
  <c r="E1145" i="7" s="1"/>
  <c r="D1143" i="7"/>
  <c r="D1145" i="7" s="1"/>
  <c r="C1143" i="7"/>
  <c r="C1145" i="7" s="1"/>
  <c r="J1136" i="7"/>
  <c r="J1138" i="7" s="1"/>
  <c r="I1136" i="7"/>
  <c r="I1138" i="7" s="1"/>
  <c r="G1136" i="7"/>
  <c r="G1138" i="7" s="1"/>
  <c r="F1136" i="7"/>
  <c r="E1136" i="7"/>
  <c r="E1138" i="7" s="1"/>
  <c r="D1136" i="7"/>
  <c r="D1138" i="7" s="1"/>
  <c r="C1136" i="7"/>
  <c r="C1138" i="7" s="1"/>
  <c r="J1129" i="7"/>
  <c r="J1131" i="7" s="1"/>
  <c r="I1129" i="7"/>
  <c r="I1131" i="7" s="1"/>
  <c r="F1129" i="7"/>
  <c r="E1129" i="7"/>
  <c r="E1131" i="7" s="1"/>
  <c r="D1129" i="7"/>
  <c r="D1131" i="7" s="1"/>
  <c r="C1129" i="7"/>
  <c r="C1131" i="7" s="1"/>
  <c r="H1136" i="7" l="1"/>
  <c r="H1138" i="7" s="1"/>
  <c r="F1138" i="7"/>
  <c r="K1143" i="7"/>
  <c r="K1145" i="7" s="1"/>
  <c r="J1145" i="7"/>
  <c r="H1150" i="7"/>
  <c r="H1153" i="7" s="1"/>
  <c r="F1152" i="7"/>
  <c r="K1157" i="7"/>
  <c r="K1159" i="7" s="1"/>
  <c r="J1159" i="7"/>
  <c r="H1157" i="7"/>
  <c r="H1159" i="7" s="1"/>
  <c r="F1159" i="7"/>
  <c r="H1179" i="7"/>
  <c r="H1181" i="7" s="1"/>
  <c r="F1181" i="7"/>
  <c r="H1129" i="7"/>
  <c r="H1131" i="7" s="1"/>
  <c r="F1131" i="7"/>
  <c r="K1165" i="7"/>
  <c r="K1167" i="7" s="1"/>
  <c r="J1167" i="7"/>
  <c r="H1143" i="7"/>
  <c r="H1145" i="7" s="1"/>
  <c r="F1145" i="7"/>
  <c r="H1165" i="7"/>
  <c r="H1167" i="7" s="1"/>
  <c r="F1167" i="7"/>
  <c r="H1172" i="7"/>
  <c r="H1174" i="7" s="1"/>
  <c r="F1174" i="7"/>
  <c r="K1150" i="7"/>
  <c r="J1153" i="7"/>
  <c r="E1135" i="7"/>
  <c r="E1139" i="7" s="1"/>
  <c r="J1142" i="7"/>
  <c r="J1146" i="7" s="1"/>
  <c r="C1156" i="7"/>
  <c r="C1160" i="7" s="1"/>
  <c r="K1156" i="7"/>
  <c r="C1164" i="7"/>
  <c r="C1168" i="7" s="1"/>
  <c r="D1139" i="7"/>
  <c r="H1135" i="7"/>
  <c r="E1142" i="7"/>
  <c r="E1146" i="7" s="1"/>
  <c r="F1156" i="7"/>
  <c r="F1160" i="7" s="1"/>
  <c r="J1156" i="7"/>
  <c r="J1160" i="7" s="1"/>
  <c r="I1135" i="7"/>
  <c r="I1139" i="7" s="1"/>
  <c r="F1142" i="7"/>
  <c r="F1146" i="7" s="1"/>
  <c r="I1164" i="7"/>
  <c r="I1168" i="7" s="1"/>
  <c r="J1135" i="7"/>
  <c r="J1139" i="7" s="1"/>
  <c r="F1135" i="7"/>
  <c r="F1139" i="7" s="1"/>
  <c r="C1142" i="7"/>
  <c r="C1146" i="7" s="1"/>
  <c r="D1156" i="7"/>
  <c r="D1160" i="7" s="1"/>
  <c r="H1156" i="7"/>
  <c r="K1142" i="7"/>
  <c r="G1156" i="7"/>
  <c r="G1160" i="7" s="1"/>
  <c r="C1135" i="7"/>
  <c r="C1139" i="7" s="1"/>
  <c r="G1135" i="7"/>
  <c r="G1139" i="7" s="1"/>
  <c r="D1142" i="7"/>
  <c r="D1146" i="7" s="1"/>
  <c r="H1142" i="7"/>
  <c r="E1156" i="7"/>
  <c r="E1160" i="7" s="1"/>
  <c r="I1156" i="7"/>
  <c r="I1160" i="7" s="1"/>
  <c r="I1178" i="7"/>
  <c r="I1182" i="7" s="1"/>
  <c r="I1171" i="7"/>
  <c r="I1175" i="7" s="1"/>
  <c r="D1149" i="7"/>
  <c r="D1153" i="7" s="1"/>
  <c r="E1149" i="7"/>
  <c r="E1153" i="7" s="1"/>
  <c r="F1149" i="7"/>
  <c r="F1153" i="7" s="1"/>
  <c r="C1149" i="7"/>
  <c r="C1153" i="7" s="1"/>
  <c r="E1128" i="7"/>
  <c r="E1132" i="7" s="1"/>
  <c r="I1128" i="7"/>
  <c r="I1132" i="7" s="1"/>
  <c r="H1128" i="7"/>
  <c r="C1128" i="7"/>
  <c r="C1132" i="7" s="1"/>
  <c r="D1128" i="7"/>
  <c r="D1132" i="7" s="1"/>
  <c r="J1128" i="7"/>
  <c r="J1132" i="7" s="1"/>
  <c r="F1128" i="7"/>
  <c r="F1132" i="7" s="1"/>
  <c r="J1122" i="7"/>
  <c r="F1122" i="7"/>
  <c r="E1122" i="7"/>
  <c r="E1124" i="7" s="1"/>
  <c r="D1122" i="7"/>
  <c r="D1124" i="7" s="1"/>
  <c r="C1122" i="7"/>
  <c r="C1124" i="7" s="1"/>
  <c r="J1114" i="7"/>
  <c r="J1116" i="7" s="1"/>
  <c r="F1114" i="7"/>
  <c r="E1114" i="7"/>
  <c r="E1116" i="7" s="1"/>
  <c r="D1114" i="7"/>
  <c r="D1116" i="7" s="1"/>
  <c r="C1114" i="7"/>
  <c r="C1116" i="7" s="1"/>
  <c r="J1107" i="7"/>
  <c r="F1107" i="7"/>
  <c r="D1107" i="7"/>
  <c r="D1109" i="7" s="1"/>
  <c r="C1107" i="7"/>
  <c r="C1109" i="7" s="1"/>
  <c r="H1146" i="7" l="1"/>
  <c r="H1132" i="7"/>
  <c r="H1139" i="7"/>
  <c r="H1160" i="7"/>
  <c r="H1152" i="7"/>
  <c r="K1107" i="7"/>
  <c r="K1109" i="7" s="1"/>
  <c r="J1109" i="7"/>
  <c r="H1114" i="7"/>
  <c r="H1116" i="7" s="1"/>
  <c r="F1116" i="7"/>
  <c r="H1122" i="7"/>
  <c r="H1124" i="7" s="1"/>
  <c r="F1124" i="7"/>
  <c r="K1122" i="7"/>
  <c r="K1124" i="7" s="1"/>
  <c r="J1124" i="7"/>
  <c r="K1160" i="7"/>
  <c r="H1107" i="7"/>
  <c r="H1109" i="7" s="1"/>
  <c r="F1109" i="7"/>
  <c r="K1146" i="7"/>
  <c r="K1153" i="7"/>
  <c r="K1152" i="7"/>
  <c r="C1106" i="7"/>
  <c r="C1110" i="7" s="1"/>
  <c r="J1121" i="7"/>
  <c r="J1125" i="7" s="1"/>
  <c r="D1121" i="7"/>
  <c r="D1125" i="7" s="1"/>
  <c r="E1121" i="7"/>
  <c r="E1125" i="7" s="1"/>
  <c r="H1121" i="7"/>
  <c r="K1121" i="7"/>
  <c r="C1121" i="7"/>
  <c r="C1125" i="7" s="1"/>
  <c r="F1121" i="7"/>
  <c r="F1125" i="7" s="1"/>
  <c r="C1113" i="7"/>
  <c r="C1118" i="7" s="1"/>
  <c r="D1113" i="7"/>
  <c r="D1118" i="7" s="1"/>
  <c r="K1113" i="7"/>
  <c r="K1118" i="7" s="1"/>
  <c r="F1113" i="7"/>
  <c r="F1118" i="7" s="1"/>
  <c r="J1113" i="7"/>
  <c r="J1118" i="7" s="1"/>
  <c r="H1113" i="7"/>
  <c r="E1113" i="7"/>
  <c r="E1118" i="7" s="1"/>
  <c r="J1106" i="7"/>
  <c r="J1110" i="7" s="1"/>
  <c r="D1106" i="7"/>
  <c r="D1110" i="7" s="1"/>
  <c r="H1106" i="7"/>
  <c r="F1106" i="7"/>
  <c r="F1110" i="7" s="1"/>
  <c r="K1106" i="7"/>
  <c r="E1106" i="7"/>
  <c r="E1110" i="7" s="1"/>
  <c r="J1100" i="7"/>
  <c r="J1102" i="7" s="1"/>
  <c r="F1100" i="7"/>
  <c r="E1100" i="7"/>
  <c r="E1102" i="7" s="1"/>
  <c r="D1100" i="7"/>
  <c r="D1102" i="7" s="1"/>
  <c r="C1100" i="7"/>
  <c r="C1102" i="7" s="1"/>
  <c r="J1092" i="7"/>
  <c r="I1092" i="7"/>
  <c r="I1094" i="7" s="1"/>
  <c r="G1092" i="7"/>
  <c r="G1094" i="7" s="1"/>
  <c r="F1092" i="7"/>
  <c r="E1092" i="7"/>
  <c r="E1094" i="7" s="1"/>
  <c r="D1092" i="7"/>
  <c r="D1094" i="7" s="1"/>
  <c r="C1092" i="7"/>
  <c r="C1094" i="7" s="1"/>
  <c r="J1085" i="7"/>
  <c r="I1085" i="7"/>
  <c r="I1087" i="7" s="1"/>
  <c r="G1085" i="7"/>
  <c r="G1087" i="7" s="1"/>
  <c r="F1085" i="7"/>
  <c r="E1085" i="7"/>
  <c r="E1087" i="7" s="1"/>
  <c r="D1085" i="7"/>
  <c r="D1087" i="7" s="1"/>
  <c r="C1085" i="7"/>
  <c r="C1087" i="7" s="1"/>
  <c r="H1118" i="7" l="1"/>
  <c r="K1125" i="7"/>
  <c r="H1110" i="7"/>
  <c r="H1125" i="7"/>
  <c r="K1110" i="7"/>
  <c r="K1085" i="7"/>
  <c r="K1087" i="7" s="1"/>
  <c r="J1087" i="7"/>
  <c r="H1092" i="7"/>
  <c r="H1094" i="7" s="1"/>
  <c r="F1094" i="7"/>
  <c r="H1085" i="7"/>
  <c r="H1087" i="7" s="1"/>
  <c r="F1087" i="7"/>
  <c r="K1092" i="7"/>
  <c r="K1094" i="7" s="1"/>
  <c r="J1094" i="7"/>
  <c r="H1100" i="7"/>
  <c r="H1102" i="7" s="1"/>
  <c r="F1102" i="7"/>
  <c r="C1091" i="7"/>
  <c r="C1095" i="7" s="1"/>
  <c r="G1091" i="7"/>
  <c r="G1095" i="7" s="1"/>
  <c r="K1091" i="7"/>
  <c r="E1091" i="7"/>
  <c r="E1095" i="7" s="1"/>
  <c r="J1091" i="7"/>
  <c r="J1095" i="7" s="1"/>
  <c r="D1091" i="7"/>
  <c r="D1095" i="7" s="1"/>
  <c r="I1091" i="7"/>
  <c r="I1095" i="7" s="1"/>
  <c r="C1084" i="7"/>
  <c r="H1084" i="7"/>
  <c r="K1084" i="7"/>
  <c r="F1084" i="7"/>
  <c r="J1084" i="7"/>
  <c r="D1084" i="7"/>
  <c r="D1088" i="7" s="1"/>
  <c r="I1084" i="7"/>
  <c r="I1088" i="7" s="1"/>
  <c r="E1084" i="7"/>
  <c r="E1088" i="7" s="1"/>
  <c r="J1078" i="7"/>
  <c r="I1078" i="7"/>
  <c r="I1080" i="7" s="1"/>
  <c r="G1078" i="7"/>
  <c r="G1080" i="7" s="1"/>
  <c r="F1078" i="7"/>
  <c r="E1078" i="7"/>
  <c r="E1080" i="7" s="1"/>
  <c r="D1078" i="7"/>
  <c r="D1080" i="7" s="1"/>
  <c r="C1078" i="7"/>
  <c r="C1080" i="7" s="1"/>
  <c r="K1078" i="7" l="1"/>
  <c r="K1080" i="7" s="1"/>
  <c r="J1080" i="7"/>
  <c r="H1078" i="7"/>
  <c r="H1080" i="7" s="1"/>
  <c r="F1080" i="7"/>
  <c r="K1095" i="7"/>
  <c r="F1088" i="7"/>
  <c r="H1088" i="7"/>
  <c r="J1088" i="7"/>
  <c r="K1088" i="7"/>
  <c r="C1088" i="7"/>
  <c r="E1077" i="7"/>
  <c r="I1077" i="7"/>
  <c r="H1077" i="7"/>
  <c r="D1077" i="7"/>
  <c r="K1077" i="7"/>
  <c r="F1077" i="7"/>
  <c r="C1077" i="7"/>
  <c r="G1077" i="7"/>
  <c r="J1071" i="7"/>
  <c r="I1071" i="7"/>
  <c r="I1073" i="7" s="1"/>
  <c r="G1071" i="7"/>
  <c r="G1073" i="7" s="1"/>
  <c r="F1071" i="7"/>
  <c r="E1071" i="7"/>
  <c r="E1073" i="7" s="1"/>
  <c r="D1071" i="7"/>
  <c r="D1073" i="7" s="1"/>
  <c r="C1071" i="7"/>
  <c r="C1073" i="7" s="1"/>
  <c r="J1057" i="7"/>
  <c r="I1057" i="7"/>
  <c r="I1059" i="7" s="1"/>
  <c r="G1057" i="7"/>
  <c r="G1059" i="7" s="1"/>
  <c r="F1057" i="7"/>
  <c r="E1057" i="7"/>
  <c r="E1059" i="7" s="1"/>
  <c r="D1057" i="7"/>
  <c r="D1059" i="7" s="1"/>
  <c r="C1057" i="7"/>
  <c r="C1059" i="7" s="1"/>
  <c r="K1071" i="7" l="1"/>
  <c r="K1073" i="7" s="1"/>
  <c r="J1073" i="7"/>
  <c r="K1057" i="7"/>
  <c r="K1059" i="7" s="1"/>
  <c r="J1059" i="7"/>
  <c r="H1071" i="7"/>
  <c r="H1073" i="7" s="1"/>
  <c r="F1073" i="7"/>
  <c r="H1057" i="7"/>
  <c r="H1059" i="7" s="1"/>
  <c r="F1059" i="7"/>
  <c r="G1081" i="7"/>
  <c r="F1081" i="7"/>
  <c r="D1081" i="7"/>
  <c r="I1081" i="7"/>
  <c r="C1081" i="7"/>
  <c r="K1081" i="7"/>
  <c r="H1081" i="7"/>
  <c r="E1081" i="7"/>
  <c r="D1070" i="7"/>
  <c r="D1074" i="7" s="1"/>
  <c r="G1070" i="7"/>
  <c r="G1074" i="7" s="1"/>
  <c r="J1070" i="7"/>
  <c r="J1074" i="7" s="1"/>
  <c r="F1070" i="7"/>
  <c r="F1074" i="7" s="1"/>
  <c r="C1070" i="7"/>
  <c r="C1074" i="7" s="1"/>
  <c r="H1070" i="7"/>
  <c r="K1070" i="7"/>
  <c r="I1070" i="7"/>
  <c r="I1074" i="7" s="1"/>
  <c r="E1070" i="7"/>
  <c r="E1074" i="7" s="1"/>
  <c r="H1074" i="7" l="1"/>
  <c r="K1074" i="7"/>
  <c r="J1056" i="7"/>
  <c r="J1060" i="7" s="1"/>
  <c r="F1056" i="7"/>
  <c r="F1060" i="7" s="1"/>
  <c r="I1056" i="7"/>
  <c r="I1060" i="7" s="1"/>
  <c r="E1056" i="7"/>
  <c r="E1060" i="7" s="1"/>
  <c r="C1056" i="7"/>
  <c r="C1060" i="7" s="1"/>
  <c r="H1056" i="7"/>
  <c r="H1060" i="7" s="1"/>
  <c r="D1056" i="7"/>
  <c r="D1060" i="7" s="1"/>
  <c r="K1056" i="7"/>
  <c r="K1060" i="7" s="1"/>
  <c r="G1056" i="7"/>
  <c r="G1060" i="7" s="1"/>
  <c r="J1050" i="7"/>
  <c r="I1050" i="7"/>
  <c r="I1052" i="7" s="1"/>
  <c r="G1050" i="7"/>
  <c r="G1052" i="7" s="1"/>
  <c r="F1050" i="7"/>
  <c r="E1050" i="7"/>
  <c r="E1052" i="7" s="1"/>
  <c r="D1050" i="7"/>
  <c r="D1052" i="7" s="1"/>
  <c r="C1050" i="7"/>
  <c r="C1052" i="7" s="1"/>
  <c r="J1043" i="7"/>
  <c r="I1043" i="7"/>
  <c r="I1045" i="7" s="1"/>
  <c r="G1043" i="7"/>
  <c r="G1045" i="7" s="1"/>
  <c r="F1043" i="7"/>
  <c r="E1043" i="7"/>
  <c r="E1045" i="7" s="1"/>
  <c r="D1043" i="7"/>
  <c r="D1045" i="7" s="1"/>
  <c r="C1043" i="7"/>
  <c r="C1045" i="7" s="1"/>
  <c r="H1043" i="7" l="1"/>
  <c r="H1045" i="7" s="1"/>
  <c r="F1045" i="7"/>
  <c r="K1050" i="7"/>
  <c r="K1052" i="7" s="1"/>
  <c r="J1052" i="7"/>
  <c r="K1043" i="7"/>
  <c r="K1045" i="7" s="1"/>
  <c r="J1045" i="7"/>
  <c r="H1050" i="7"/>
  <c r="H1052" i="7" s="1"/>
  <c r="F1052" i="7"/>
  <c r="C1049" i="7"/>
  <c r="C1053" i="7" s="1"/>
  <c r="H1049" i="7"/>
  <c r="G1049" i="7"/>
  <c r="G1053" i="7" s="1"/>
  <c r="D1049" i="7"/>
  <c r="D1053" i="7" s="1"/>
  <c r="I1049" i="7"/>
  <c r="I1053" i="7" s="1"/>
  <c r="K1042" i="7"/>
  <c r="J1035" i="7"/>
  <c r="J1037" i="7" s="1"/>
  <c r="I1035" i="7"/>
  <c r="I1037" i="7" s="1"/>
  <c r="F1035" i="7"/>
  <c r="E1035" i="7"/>
  <c r="E1037" i="7" s="1"/>
  <c r="D1035" i="7"/>
  <c r="D1037" i="7" s="1"/>
  <c r="C1035" i="7"/>
  <c r="C1037" i="7" s="1"/>
  <c r="K1046" i="7" l="1"/>
  <c r="H1053" i="7"/>
  <c r="H1035" i="7"/>
  <c r="H1037" i="7" s="1"/>
  <c r="F1037" i="7"/>
  <c r="J1028" i="7"/>
  <c r="I1028" i="7"/>
  <c r="I1030" i="7" s="1"/>
  <c r="G1028" i="7"/>
  <c r="G1030" i="7" s="1"/>
  <c r="F1028" i="7"/>
  <c r="E1028" i="7"/>
  <c r="E1030" i="7" s="1"/>
  <c r="D1028" i="7"/>
  <c r="D1030" i="7" s="1"/>
  <c r="C1028" i="7"/>
  <c r="C1030" i="7" s="1"/>
  <c r="D1021" i="7"/>
  <c r="D1023" i="7" s="1"/>
  <c r="E1021" i="7"/>
  <c r="E1023" i="7" s="1"/>
  <c r="F1021" i="7"/>
  <c r="G1021" i="7"/>
  <c r="G1023" i="7" s="1"/>
  <c r="I1021" i="7"/>
  <c r="I1023" i="7" s="1"/>
  <c r="J1021" i="7"/>
  <c r="C1021" i="7"/>
  <c r="C1023" i="7" s="1"/>
  <c r="J1014" i="7"/>
  <c r="I1014" i="7"/>
  <c r="I1016" i="7" s="1"/>
  <c r="G1014" i="7"/>
  <c r="G1016" i="7" s="1"/>
  <c r="F1014" i="7"/>
  <c r="E1014" i="7"/>
  <c r="E1016" i="7" s="1"/>
  <c r="D1014" i="7"/>
  <c r="D1016" i="7" s="1"/>
  <c r="C1014" i="7"/>
  <c r="C1016" i="7" s="1"/>
  <c r="E1007" i="7"/>
  <c r="E1009" i="7" s="1"/>
  <c r="J1007" i="7"/>
  <c r="J1009" i="7" s="1"/>
  <c r="I1007" i="7"/>
  <c r="I1009" i="7" s="1"/>
  <c r="G1007" i="7"/>
  <c r="G1009" i="7" s="1"/>
  <c r="F1007" i="7"/>
  <c r="D1007" i="7"/>
  <c r="D1009" i="7" s="1"/>
  <c r="C1007" i="7"/>
  <c r="C1009" i="7" s="1"/>
  <c r="I1006" i="7"/>
  <c r="J1006" i="7"/>
  <c r="J1000" i="7"/>
  <c r="J1002" i="7" s="1"/>
  <c r="I1000" i="7"/>
  <c r="I1002" i="7" s="1"/>
  <c r="G1000" i="7"/>
  <c r="G1002" i="7" s="1"/>
  <c r="F1000" i="7"/>
  <c r="E1000" i="7"/>
  <c r="E1002" i="7" s="1"/>
  <c r="D1000" i="7"/>
  <c r="D1002" i="7" s="1"/>
  <c r="C1000" i="7"/>
  <c r="C1002" i="7" s="1"/>
  <c r="J993" i="7"/>
  <c r="I993" i="7"/>
  <c r="I995" i="7" s="1"/>
  <c r="G993" i="7"/>
  <c r="G995" i="7" s="1"/>
  <c r="F993" i="7"/>
  <c r="E993" i="7"/>
  <c r="E995" i="7" s="1"/>
  <c r="D993" i="7"/>
  <c r="D995" i="7" s="1"/>
  <c r="C993" i="7"/>
  <c r="C995" i="7" s="1"/>
  <c r="J986" i="7"/>
  <c r="I986" i="7"/>
  <c r="I988" i="7" s="1"/>
  <c r="G986" i="7"/>
  <c r="G988" i="7" s="1"/>
  <c r="F986" i="7"/>
  <c r="E986" i="7"/>
  <c r="E988" i="7" s="1"/>
  <c r="D986" i="7"/>
  <c r="D988" i="7" s="1"/>
  <c r="C986" i="7"/>
  <c r="C988" i="7" s="1"/>
  <c r="J979" i="7"/>
  <c r="I979" i="7"/>
  <c r="I981" i="7" s="1"/>
  <c r="G979" i="7"/>
  <c r="G981" i="7" s="1"/>
  <c r="F979" i="7"/>
  <c r="E979" i="7"/>
  <c r="E981" i="7" s="1"/>
  <c r="D979" i="7"/>
  <c r="D981" i="7" s="1"/>
  <c r="C979" i="7"/>
  <c r="C981" i="7" s="1"/>
  <c r="I1010" i="7" l="1"/>
  <c r="K986" i="7"/>
  <c r="K988" i="7" s="1"/>
  <c r="J988" i="7"/>
  <c r="H993" i="7"/>
  <c r="H995" i="7" s="1"/>
  <c r="F995" i="7"/>
  <c r="K1021" i="7"/>
  <c r="K1023" i="7" s="1"/>
  <c r="J1023" i="7"/>
  <c r="K1028" i="7"/>
  <c r="K1030" i="7" s="1"/>
  <c r="J1030" i="7"/>
  <c r="K979" i="7"/>
  <c r="K981" i="7" s="1"/>
  <c r="J981" i="7"/>
  <c r="H986" i="7"/>
  <c r="H988" i="7" s="1"/>
  <c r="F988" i="7"/>
  <c r="H1028" i="7"/>
  <c r="H1030" i="7" s="1"/>
  <c r="F1030" i="7"/>
  <c r="H979" i="7"/>
  <c r="H981" i="7" s="1"/>
  <c r="F981" i="7"/>
  <c r="K1014" i="7"/>
  <c r="K1016" i="7" s="1"/>
  <c r="J1016" i="7"/>
  <c r="K993" i="7"/>
  <c r="K995" i="7" s="1"/>
  <c r="J995" i="7"/>
  <c r="H1000" i="7"/>
  <c r="H1002" i="7" s="1"/>
  <c r="F1002" i="7"/>
  <c r="J1010" i="7"/>
  <c r="H1007" i="7"/>
  <c r="H1009" i="7" s="1"/>
  <c r="F1009" i="7"/>
  <c r="H1014" i="7"/>
  <c r="H1016" i="7" s="1"/>
  <c r="F1016" i="7"/>
  <c r="H1021" i="7"/>
  <c r="H1023" i="7" s="1"/>
  <c r="F1023" i="7"/>
  <c r="I978" i="7"/>
  <c r="I982" i="7" s="1"/>
  <c r="F978" i="7"/>
  <c r="F982" i="7" s="1"/>
  <c r="C978" i="7"/>
  <c r="C982" i="7" s="1"/>
  <c r="E978" i="7"/>
  <c r="E982" i="7" s="1"/>
  <c r="D978" i="7"/>
  <c r="D982" i="7" s="1"/>
  <c r="H978" i="7"/>
  <c r="H982" i="7" s="1"/>
  <c r="C1034" i="7"/>
  <c r="C1038" i="7" s="1"/>
  <c r="D1034" i="7"/>
  <c r="D1038" i="7" s="1"/>
  <c r="C1027" i="7"/>
  <c r="C1031" i="7" s="1"/>
  <c r="K1027" i="7"/>
  <c r="K1031" i="7" s="1"/>
  <c r="J1027" i="7"/>
  <c r="J1031" i="7" s="1"/>
  <c r="D1027" i="7"/>
  <c r="D1031" i="7" s="1"/>
  <c r="F1027" i="7"/>
  <c r="F1031" i="7" s="1"/>
  <c r="E1027" i="7"/>
  <c r="E1031" i="7" s="1"/>
  <c r="I1027" i="7"/>
  <c r="I1031" i="7" s="1"/>
  <c r="I1020" i="7"/>
  <c r="I1024" i="7" s="1"/>
  <c r="F1020" i="7"/>
  <c r="F1024" i="7" s="1"/>
  <c r="H1020" i="7"/>
  <c r="C1020" i="7"/>
  <c r="C1024" i="7" s="1"/>
  <c r="K1020" i="7"/>
  <c r="K1024" i="7" s="1"/>
  <c r="E1020" i="7"/>
  <c r="E1024" i="7" s="1"/>
  <c r="J1020" i="7"/>
  <c r="J1024" i="7" s="1"/>
  <c r="D1020" i="7"/>
  <c r="D1024" i="7" s="1"/>
  <c r="H1013" i="7"/>
  <c r="C1013" i="7"/>
  <c r="C1017" i="7" s="1"/>
  <c r="G1013" i="7"/>
  <c r="G1017" i="7" s="1"/>
  <c r="K1013" i="7"/>
  <c r="F1013" i="7"/>
  <c r="F1017" i="7" s="1"/>
  <c r="I1013" i="7"/>
  <c r="I1017" i="7" s="1"/>
  <c r="E1013" i="7"/>
  <c r="E1017" i="7" s="1"/>
  <c r="F992" i="7"/>
  <c r="F996" i="7" s="1"/>
  <c r="E992" i="7"/>
  <c r="E996" i="7" s="1"/>
  <c r="J992" i="7"/>
  <c r="J996" i="7" s="1"/>
  <c r="D992" i="7"/>
  <c r="D996" i="7" s="1"/>
  <c r="C992" i="7"/>
  <c r="C996" i="7" s="1"/>
  <c r="K992" i="7"/>
  <c r="G992" i="7"/>
  <c r="G996" i="7" s="1"/>
  <c r="H999" i="7"/>
  <c r="F999" i="7"/>
  <c r="F1003" i="7" s="1"/>
  <c r="E999" i="7"/>
  <c r="E1003" i="7" s="1"/>
  <c r="C999" i="7"/>
  <c r="C1003" i="7" s="1"/>
  <c r="D999" i="7"/>
  <c r="D1003" i="7" s="1"/>
  <c r="C985" i="7"/>
  <c r="C989" i="7" s="1"/>
  <c r="K985" i="7"/>
  <c r="K989" i="7" s="1"/>
  <c r="E985" i="7"/>
  <c r="E989" i="7" s="1"/>
  <c r="I985" i="7"/>
  <c r="I989" i="7" s="1"/>
  <c r="F985" i="7"/>
  <c r="F989" i="7" s="1"/>
  <c r="J985" i="7"/>
  <c r="J989" i="7" s="1"/>
  <c r="D985" i="7"/>
  <c r="D989" i="7" s="1"/>
  <c r="J964" i="7"/>
  <c r="I964" i="7"/>
  <c r="I966" i="7" s="1"/>
  <c r="G964" i="7"/>
  <c r="G966" i="7" s="1"/>
  <c r="F964" i="7"/>
  <c r="E964" i="7"/>
  <c r="E966" i="7" s="1"/>
  <c r="D964" i="7"/>
  <c r="D966" i="7" s="1"/>
  <c r="C964" i="7"/>
  <c r="C966" i="7" s="1"/>
  <c r="J957" i="7"/>
  <c r="I957" i="7"/>
  <c r="I959" i="7" s="1"/>
  <c r="G957" i="7"/>
  <c r="G959" i="7" s="1"/>
  <c r="F957" i="7"/>
  <c r="E957" i="7"/>
  <c r="E959" i="7" s="1"/>
  <c r="D957" i="7"/>
  <c r="D959" i="7" s="1"/>
  <c r="C957" i="7"/>
  <c r="C959" i="7" s="1"/>
  <c r="J950" i="7"/>
  <c r="J952" i="7" s="1"/>
  <c r="I950" i="7"/>
  <c r="I952" i="7" s="1"/>
  <c r="G950" i="7"/>
  <c r="G952" i="7" s="1"/>
  <c r="F950" i="7"/>
  <c r="E950" i="7"/>
  <c r="E952" i="7" s="1"/>
  <c r="D950" i="7"/>
  <c r="D952" i="7" s="1"/>
  <c r="C950" i="7"/>
  <c r="C952" i="7" s="1"/>
  <c r="J943" i="7"/>
  <c r="J945" i="7" s="1"/>
  <c r="I943" i="7"/>
  <c r="I945" i="7" s="1"/>
  <c r="G943" i="7"/>
  <c r="G945" i="7" s="1"/>
  <c r="F943" i="7"/>
  <c r="E943" i="7"/>
  <c r="E945" i="7" s="1"/>
  <c r="D943" i="7"/>
  <c r="D945" i="7" s="1"/>
  <c r="C943" i="7"/>
  <c r="C945" i="7" s="1"/>
  <c r="K1017" i="7" l="1"/>
  <c r="H1003" i="7"/>
  <c r="H950" i="7"/>
  <c r="H952" i="7" s="1"/>
  <c r="F952" i="7"/>
  <c r="H943" i="7"/>
  <c r="H945" i="7" s="1"/>
  <c r="F945" i="7"/>
  <c r="K964" i="7"/>
  <c r="K966" i="7" s="1"/>
  <c r="J966" i="7"/>
  <c r="H1024" i="7"/>
  <c r="K957" i="7"/>
  <c r="K959" i="7" s="1"/>
  <c r="J959" i="7"/>
  <c r="H964" i="7"/>
  <c r="H966" i="7" s="1"/>
  <c r="F966" i="7"/>
  <c r="H957" i="7"/>
  <c r="H959" i="7" s="1"/>
  <c r="F959" i="7"/>
  <c r="K996" i="7"/>
  <c r="H1017" i="7"/>
  <c r="I963" i="7"/>
  <c r="I967" i="7" s="1"/>
  <c r="F963" i="7"/>
  <c r="F967" i="7" s="1"/>
  <c r="K963" i="7"/>
  <c r="E963" i="7"/>
  <c r="E967" i="7" s="1"/>
  <c r="J963" i="7"/>
  <c r="J967" i="7" s="1"/>
  <c r="K956" i="7"/>
  <c r="E956" i="7"/>
  <c r="E960" i="7" s="1"/>
  <c r="J956" i="7"/>
  <c r="J960" i="7" s="1"/>
  <c r="D956" i="7"/>
  <c r="D960" i="7" s="1"/>
  <c r="I956" i="7"/>
  <c r="I960" i="7" s="1"/>
  <c r="C956" i="7"/>
  <c r="C960" i="7" s="1"/>
  <c r="H956" i="7"/>
  <c r="I949" i="7"/>
  <c r="I953" i="7" s="1"/>
  <c r="H949" i="7"/>
  <c r="H953" i="7" s="1"/>
  <c r="C949" i="7"/>
  <c r="C953" i="7" s="1"/>
  <c r="F949" i="7"/>
  <c r="F953" i="7" s="1"/>
  <c r="J949" i="7"/>
  <c r="J953" i="7" s="1"/>
  <c r="C942" i="7"/>
  <c r="C946" i="7" s="1"/>
  <c r="F942" i="7"/>
  <c r="F946" i="7" s="1"/>
  <c r="E942" i="7"/>
  <c r="E946" i="7" s="1"/>
  <c r="D942" i="7"/>
  <c r="D946" i="7" s="1"/>
  <c r="H942" i="7"/>
  <c r="J936" i="7"/>
  <c r="I936" i="7"/>
  <c r="I938" i="7" s="1"/>
  <c r="G936" i="7"/>
  <c r="G938" i="7" s="1"/>
  <c r="F936" i="7"/>
  <c r="E936" i="7"/>
  <c r="E938" i="7" s="1"/>
  <c r="D936" i="7"/>
  <c r="D938" i="7" s="1"/>
  <c r="C936" i="7"/>
  <c r="C938" i="7" s="1"/>
  <c r="J929" i="7"/>
  <c r="I929" i="7"/>
  <c r="I931" i="7" s="1"/>
  <c r="G929" i="7"/>
  <c r="G931" i="7" s="1"/>
  <c r="F929" i="7"/>
  <c r="E929" i="7"/>
  <c r="E931" i="7" s="1"/>
  <c r="D929" i="7"/>
  <c r="D931" i="7" s="1"/>
  <c r="C929" i="7"/>
  <c r="C931" i="7" s="1"/>
  <c r="J921" i="7"/>
  <c r="J923" i="7" s="1"/>
  <c r="I921" i="7"/>
  <c r="I923" i="7" s="1"/>
  <c r="F921" i="7"/>
  <c r="E921" i="7"/>
  <c r="E923" i="7" s="1"/>
  <c r="D921" i="7"/>
  <c r="D923" i="7" s="1"/>
  <c r="C921" i="7"/>
  <c r="C923" i="7" s="1"/>
  <c r="K967" i="7" l="1"/>
  <c r="H929" i="7"/>
  <c r="H931" i="7" s="1"/>
  <c r="F931" i="7"/>
  <c r="H960" i="7"/>
  <c r="H921" i="7"/>
  <c r="H923" i="7" s="1"/>
  <c r="F923" i="7"/>
  <c r="K936" i="7"/>
  <c r="K938" i="7" s="1"/>
  <c r="J938" i="7"/>
  <c r="K929" i="7"/>
  <c r="K931" i="7" s="1"/>
  <c r="J931" i="7"/>
  <c r="H936" i="7"/>
  <c r="H938" i="7" s="1"/>
  <c r="F938" i="7"/>
  <c r="H946" i="7"/>
  <c r="K960" i="7"/>
  <c r="K935" i="7"/>
  <c r="K939" i="7" s="1"/>
  <c r="J935" i="7"/>
  <c r="J939" i="7" s="1"/>
  <c r="C935" i="7"/>
  <c r="C939" i="7" s="1"/>
  <c r="G935" i="7"/>
  <c r="G939" i="7" s="1"/>
  <c r="F935" i="7"/>
  <c r="F939" i="7" s="1"/>
  <c r="E935" i="7"/>
  <c r="E939" i="7" s="1"/>
  <c r="H935" i="7"/>
  <c r="D935" i="7"/>
  <c r="D939" i="7" s="1"/>
  <c r="J928" i="7"/>
  <c r="I928" i="7"/>
  <c r="E928" i="7"/>
  <c r="C928" i="7"/>
  <c r="C932" i="7" s="1"/>
  <c r="D928" i="7"/>
  <c r="D932" i="7" s="1"/>
  <c r="K928" i="7"/>
  <c r="J914" i="7"/>
  <c r="I914" i="7"/>
  <c r="I916" i="7" s="1"/>
  <c r="G914" i="7"/>
  <c r="G916" i="7" s="1"/>
  <c r="F914" i="7"/>
  <c r="E914" i="7"/>
  <c r="E916" i="7" s="1"/>
  <c r="D914" i="7"/>
  <c r="D916" i="7" s="1"/>
  <c r="C914" i="7"/>
  <c r="C916" i="7" s="1"/>
  <c r="J907" i="7"/>
  <c r="I907" i="7"/>
  <c r="I909" i="7" s="1"/>
  <c r="G907" i="7"/>
  <c r="G909" i="7" s="1"/>
  <c r="F907" i="7"/>
  <c r="E907" i="7"/>
  <c r="E909" i="7" s="1"/>
  <c r="D907" i="7"/>
  <c r="D909" i="7" s="1"/>
  <c r="C907" i="7"/>
  <c r="C909" i="7" s="1"/>
  <c r="J899" i="7"/>
  <c r="J901" i="7" s="1"/>
  <c r="I899" i="7"/>
  <c r="I901" i="7" s="1"/>
  <c r="G899" i="7"/>
  <c r="G901" i="7" s="1"/>
  <c r="F899" i="7"/>
  <c r="E899" i="7"/>
  <c r="E901" i="7" s="1"/>
  <c r="D899" i="7"/>
  <c r="D901" i="7" s="1"/>
  <c r="C899" i="7"/>
  <c r="C901" i="7" s="1"/>
  <c r="J892" i="7"/>
  <c r="J894" i="7" s="1"/>
  <c r="I892" i="7"/>
  <c r="I894" i="7" s="1"/>
  <c r="F892" i="7"/>
  <c r="E892" i="7"/>
  <c r="E894" i="7" s="1"/>
  <c r="D892" i="7"/>
  <c r="D894" i="7" s="1"/>
  <c r="C892" i="7"/>
  <c r="C894" i="7" s="1"/>
  <c r="H891" i="7"/>
  <c r="H939" i="7" l="1"/>
  <c r="K914" i="7"/>
  <c r="K916" i="7" s="1"/>
  <c r="J916" i="7"/>
  <c r="H892" i="7"/>
  <c r="H894" i="7" s="1"/>
  <c r="F894" i="7"/>
  <c r="K907" i="7"/>
  <c r="K909" i="7" s="1"/>
  <c r="J909" i="7"/>
  <c r="H914" i="7"/>
  <c r="H916" i="7" s="1"/>
  <c r="F916" i="7"/>
  <c r="K932" i="7"/>
  <c r="H907" i="7"/>
  <c r="H909" i="7" s="1"/>
  <c r="F909" i="7"/>
  <c r="H899" i="7"/>
  <c r="H901" i="7" s="1"/>
  <c r="F901" i="7"/>
  <c r="E932" i="7"/>
  <c r="C898" i="7"/>
  <c r="C902" i="7" s="1"/>
  <c r="D898" i="7"/>
  <c r="D902" i="7" s="1"/>
  <c r="J932" i="7"/>
  <c r="I932" i="7"/>
  <c r="D913" i="7"/>
  <c r="J913" i="7"/>
  <c r="K913" i="7"/>
  <c r="G913" i="7"/>
  <c r="C913" i="7"/>
  <c r="C917" i="7" s="1"/>
  <c r="E913" i="7"/>
  <c r="K906" i="7"/>
  <c r="K910" i="7" s="1"/>
  <c r="E906" i="7"/>
  <c r="E910" i="7" s="1"/>
  <c r="F906" i="7"/>
  <c r="F910" i="7" s="1"/>
  <c r="J906" i="7"/>
  <c r="J910" i="7" s="1"/>
  <c r="D906" i="7"/>
  <c r="D910" i="7" s="1"/>
  <c r="C906" i="7"/>
  <c r="C910" i="7" s="1"/>
  <c r="I906" i="7"/>
  <c r="I910" i="7" s="1"/>
  <c r="J885" i="7"/>
  <c r="I885" i="7"/>
  <c r="I887" i="7" s="1"/>
  <c r="G885" i="7"/>
  <c r="G887" i="7" s="1"/>
  <c r="F885" i="7"/>
  <c r="E885" i="7"/>
  <c r="E887" i="7" s="1"/>
  <c r="D885" i="7"/>
  <c r="D887" i="7" s="1"/>
  <c r="C885" i="7"/>
  <c r="C887" i="7" s="1"/>
  <c r="H885" i="7" l="1"/>
  <c r="H887" i="7" s="1"/>
  <c r="F887" i="7"/>
  <c r="H895" i="7"/>
  <c r="K885" i="7"/>
  <c r="K887" i="7" s="1"/>
  <c r="J887" i="7"/>
  <c r="G917" i="7"/>
  <c r="J917" i="7"/>
  <c r="K917" i="7"/>
  <c r="D917" i="7"/>
  <c r="E917" i="7"/>
  <c r="J878" i="7"/>
  <c r="I878" i="7"/>
  <c r="I880" i="7" s="1"/>
  <c r="G878" i="7"/>
  <c r="G880" i="7" s="1"/>
  <c r="F878" i="7"/>
  <c r="F880" i="7" s="1"/>
  <c r="E878" i="7"/>
  <c r="E880" i="7" s="1"/>
  <c r="D878" i="7"/>
  <c r="D880" i="7" s="1"/>
  <c r="C878" i="7"/>
  <c r="C880" i="7" s="1"/>
  <c r="J871" i="7"/>
  <c r="I871" i="7"/>
  <c r="I873" i="7" s="1"/>
  <c r="G871" i="7"/>
  <c r="G873" i="7" s="1"/>
  <c r="F871" i="7"/>
  <c r="E871" i="7"/>
  <c r="E873" i="7" s="1"/>
  <c r="D871" i="7"/>
  <c r="D873" i="7" s="1"/>
  <c r="C871" i="7"/>
  <c r="C873" i="7" s="1"/>
  <c r="J864" i="7"/>
  <c r="I864" i="7"/>
  <c r="I866" i="7" s="1"/>
  <c r="G864" i="7"/>
  <c r="G866" i="7" s="1"/>
  <c r="F864" i="7"/>
  <c r="E864" i="7"/>
  <c r="E866" i="7" s="1"/>
  <c r="D864" i="7"/>
  <c r="D866" i="7" s="1"/>
  <c r="C864" i="7"/>
  <c r="C866" i="7" s="1"/>
  <c r="H864" i="7" l="1"/>
  <c r="H866" i="7" s="1"/>
  <c r="F866" i="7"/>
  <c r="K878" i="7"/>
  <c r="K880" i="7" s="1"/>
  <c r="J880" i="7"/>
  <c r="K871" i="7"/>
  <c r="K873" i="7" s="1"/>
  <c r="J873" i="7"/>
  <c r="K864" i="7"/>
  <c r="K866" i="7" s="1"/>
  <c r="J866" i="7"/>
  <c r="H871" i="7"/>
  <c r="H873" i="7" s="1"/>
  <c r="F873" i="7"/>
  <c r="J870" i="7"/>
  <c r="J874" i="7" s="1"/>
  <c r="D870" i="7"/>
  <c r="D874" i="7" s="1"/>
  <c r="K870" i="7"/>
  <c r="K874" i="7" s="1"/>
  <c r="F870" i="7"/>
  <c r="F874" i="7" s="1"/>
  <c r="E870" i="7"/>
  <c r="E874" i="7" s="1"/>
  <c r="I870" i="7"/>
  <c r="I874" i="7" s="1"/>
  <c r="C870" i="7"/>
  <c r="C874" i="7" s="1"/>
  <c r="H870" i="7"/>
  <c r="J877" i="7"/>
  <c r="I877" i="7"/>
  <c r="C877" i="7"/>
  <c r="F877" i="7"/>
  <c r="E877" i="7"/>
  <c r="D863" i="7"/>
  <c r="D867" i="7" s="1"/>
  <c r="C863" i="7"/>
  <c r="C867" i="7" s="1"/>
  <c r="G863" i="7"/>
  <c r="G867" i="7" s="1"/>
  <c r="J863" i="7"/>
  <c r="J867" i="7" s="1"/>
  <c r="F863" i="7"/>
  <c r="F867" i="7" s="1"/>
  <c r="H863" i="7"/>
  <c r="H867" i="7" s="1"/>
  <c r="I863" i="7"/>
  <c r="I867" i="7" s="1"/>
  <c r="E863" i="7"/>
  <c r="E867" i="7" s="1"/>
  <c r="D877" i="7"/>
  <c r="D881" i="7" s="1"/>
  <c r="K877" i="7"/>
  <c r="H878" i="7"/>
  <c r="H880" i="7" s="1"/>
  <c r="J857" i="7"/>
  <c r="J859" i="7" s="1"/>
  <c r="I857" i="7"/>
  <c r="I859" i="7" s="1"/>
  <c r="G857" i="7"/>
  <c r="G859" i="7" s="1"/>
  <c r="F857" i="7"/>
  <c r="E857" i="7"/>
  <c r="E859" i="7" s="1"/>
  <c r="D857" i="7"/>
  <c r="D859" i="7" s="1"/>
  <c r="C857" i="7"/>
  <c r="C859" i="7" s="1"/>
  <c r="F856" i="7"/>
  <c r="F860" i="7" s="1"/>
  <c r="H856" i="7"/>
  <c r="J856" i="7"/>
  <c r="C856" i="7"/>
  <c r="C860" i="7" s="1"/>
  <c r="J850" i="7"/>
  <c r="J852" i="7" s="1"/>
  <c r="I850" i="7"/>
  <c r="I852" i="7" s="1"/>
  <c r="G850" i="7"/>
  <c r="G852" i="7" s="1"/>
  <c r="F850" i="7"/>
  <c r="F852" i="7" s="1"/>
  <c r="E850" i="7"/>
  <c r="E852" i="7" s="1"/>
  <c r="D850" i="7"/>
  <c r="D852" i="7" s="1"/>
  <c r="C850" i="7"/>
  <c r="C852" i="7" s="1"/>
  <c r="J860" i="7" l="1"/>
  <c r="H874" i="7"/>
  <c r="H857" i="7"/>
  <c r="H859" i="7" s="1"/>
  <c r="F859" i="7"/>
  <c r="K881" i="7"/>
  <c r="F881" i="7"/>
  <c r="I881" i="7"/>
  <c r="C881" i="7"/>
  <c r="J881" i="7"/>
  <c r="E881" i="7"/>
  <c r="J849" i="7"/>
  <c r="J853" i="7" s="1"/>
  <c r="D849" i="7"/>
  <c r="D853" i="7" s="1"/>
  <c r="H850" i="7"/>
  <c r="H852" i="7" s="1"/>
  <c r="J836" i="7"/>
  <c r="I836" i="7"/>
  <c r="I838" i="7" s="1"/>
  <c r="G836" i="7"/>
  <c r="G838" i="7" s="1"/>
  <c r="F836" i="7"/>
  <c r="E836" i="7"/>
  <c r="E838" i="7" s="1"/>
  <c r="D836" i="7"/>
  <c r="D838" i="7" s="1"/>
  <c r="C836" i="7"/>
  <c r="C838" i="7" s="1"/>
  <c r="H836" i="7" l="1"/>
  <c r="H838" i="7" s="1"/>
  <c r="F838" i="7"/>
  <c r="K836" i="7"/>
  <c r="K838" i="7" s="1"/>
  <c r="J838" i="7"/>
  <c r="H860" i="7"/>
  <c r="K835" i="7"/>
  <c r="E835" i="7"/>
  <c r="E839" i="7" s="1"/>
  <c r="H835" i="7"/>
  <c r="D835" i="7"/>
  <c r="D839" i="7" s="1"/>
  <c r="G835" i="7"/>
  <c r="G839" i="7" s="1"/>
  <c r="C835" i="7"/>
  <c r="C839" i="7" s="1"/>
  <c r="F835" i="7"/>
  <c r="F839" i="7" s="1"/>
  <c r="J843" i="7"/>
  <c r="I843" i="7"/>
  <c r="I845" i="7" s="1"/>
  <c r="G843" i="7"/>
  <c r="G845" i="7" s="1"/>
  <c r="F843" i="7"/>
  <c r="E843" i="7"/>
  <c r="E845" i="7" s="1"/>
  <c r="D843" i="7"/>
  <c r="D845" i="7" s="1"/>
  <c r="C843" i="7"/>
  <c r="C845" i="7" s="1"/>
  <c r="J829" i="7"/>
  <c r="J831" i="7" s="1"/>
  <c r="I829" i="7"/>
  <c r="I831" i="7" s="1"/>
  <c r="G829" i="7"/>
  <c r="G831" i="7" s="1"/>
  <c r="F829" i="7"/>
  <c r="E829" i="7"/>
  <c r="E831" i="7" s="1"/>
  <c r="D829" i="7"/>
  <c r="D831" i="7" s="1"/>
  <c r="C829" i="7"/>
  <c r="C831" i="7" s="1"/>
  <c r="J821" i="7"/>
  <c r="J823" i="7" s="1"/>
  <c r="I821" i="7"/>
  <c r="I823" i="7" s="1"/>
  <c r="F821" i="7"/>
  <c r="E821" i="7"/>
  <c r="E823" i="7" s="1"/>
  <c r="D821" i="7"/>
  <c r="D823" i="7" s="1"/>
  <c r="C821" i="7"/>
  <c r="C823" i="7" s="1"/>
  <c r="H820" i="7"/>
  <c r="J814" i="7"/>
  <c r="J816" i="7" s="1"/>
  <c r="I814" i="7"/>
  <c r="I816" i="7" s="1"/>
  <c r="F814" i="7"/>
  <c r="E814" i="7"/>
  <c r="E816" i="7" s="1"/>
  <c r="D814" i="7"/>
  <c r="D816" i="7" s="1"/>
  <c r="C814" i="7"/>
  <c r="C816" i="7" s="1"/>
  <c r="J807" i="7"/>
  <c r="J809" i="7" s="1"/>
  <c r="I807" i="7"/>
  <c r="I809" i="7" s="1"/>
  <c r="G807" i="7"/>
  <c r="G809" i="7" s="1"/>
  <c r="F807" i="7"/>
  <c r="E807" i="7"/>
  <c r="D807" i="7"/>
  <c r="C807" i="7"/>
  <c r="C809" i="7" s="1"/>
  <c r="H839" i="7" l="1"/>
  <c r="H843" i="7"/>
  <c r="H845" i="7" s="1"/>
  <c r="F845" i="7"/>
  <c r="H829" i="7"/>
  <c r="H831" i="7" s="1"/>
  <c r="F831" i="7"/>
  <c r="K839" i="7"/>
  <c r="K843" i="7"/>
  <c r="K845" i="7" s="1"/>
  <c r="J845" i="7"/>
  <c r="H821" i="7"/>
  <c r="H823" i="7" s="1"/>
  <c r="F823" i="7"/>
  <c r="H814" i="7"/>
  <c r="H816" i="7" s="1"/>
  <c r="F816" i="7"/>
  <c r="H807" i="7"/>
  <c r="H809" i="7" s="1"/>
  <c r="F809" i="7"/>
  <c r="C842" i="7"/>
  <c r="C846" i="7" s="1"/>
  <c r="J842" i="7"/>
  <c r="J846" i="7" s="1"/>
  <c r="E842" i="7"/>
  <c r="E846" i="7" s="1"/>
  <c r="I842" i="7"/>
  <c r="I846" i="7" s="1"/>
  <c r="H842" i="7"/>
  <c r="K842" i="7"/>
  <c r="F842" i="7"/>
  <c r="F846" i="7" s="1"/>
  <c r="H828" i="7"/>
  <c r="G828" i="7"/>
  <c r="G832" i="7" s="1"/>
  <c r="J828" i="7"/>
  <c r="J832" i="7" s="1"/>
  <c r="I828" i="7"/>
  <c r="I832" i="7" s="1"/>
  <c r="I813" i="7"/>
  <c r="I817" i="7" s="1"/>
  <c r="J813" i="7"/>
  <c r="J817" i="7" s="1"/>
  <c r="C806" i="7"/>
  <c r="C810" i="7" s="1"/>
  <c r="D806" i="7"/>
  <c r="J799" i="7"/>
  <c r="I799" i="7"/>
  <c r="I801" i="7" s="1"/>
  <c r="G799" i="7"/>
  <c r="G801" i="7" s="1"/>
  <c r="F799" i="7"/>
  <c r="D799" i="7"/>
  <c r="D801" i="7" s="1"/>
  <c r="E799" i="7"/>
  <c r="E801" i="7" s="1"/>
  <c r="C799" i="7"/>
  <c r="C801" i="7" s="1"/>
  <c r="J792" i="7"/>
  <c r="J794" i="7" s="1"/>
  <c r="I792" i="7"/>
  <c r="I794" i="7" s="1"/>
  <c r="G792" i="7"/>
  <c r="G794" i="7" s="1"/>
  <c r="F792" i="7"/>
  <c r="E792" i="7"/>
  <c r="E794" i="7" s="1"/>
  <c r="D792" i="7"/>
  <c r="D794" i="7" s="1"/>
  <c r="C792" i="7"/>
  <c r="C794" i="7" s="1"/>
  <c r="D791" i="7"/>
  <c r="K846" i="7" l="1"/>
  <c r="H832" i="7"/>
  <c r="H846" i="7"/>
  <c r="H824" i="7"/>
  <c r="K799" i="7"/>
  <c r="K801" i="7" s="1"/>
  <c r="J801" i="7"/>
  <c r="H799" i="7"/>
  <c r="H801" i="7" s="1"/>
  <c r="F801" i="7"/>
  <c r="H792" i="7"/>
  <c r="H794" i="7" s="1"/>
  <c r="F794" i="7"/>
  <c r="J798" i="7"/>
  <c r="J802" i="7" s="1"/>
  <c r="H798" i="7"/>
  <c r="G798" i="7"/>
  <c r="G802" i="7" s="1"/>
  <c r="D798" i="7"/>
  <c r="D802" i="7" s="1"/>
  <c r="C798" i="7"/>
  <c r="C802" i="7" s="1"/>
  <c r="E798" i="7"/>
  <c r="E802" i="7" s="1"/>
  <c r="C791" i="7"/>
  <c r="C795" i="7" s="1"/>
  <c r="J784" i="7"/>
  <c r="J786" i="7" s="1"/>
  <c r="I784" i="7"/>
  <c r="I786" i="7" s="1"/>
  <c r="F784" i="7"/>
  <c r="E784" i="7"/>
  <c r="E786" i="7" s="1"/>
  <c r="D784" i="7"/>
  <c r="D786" i="7" s="1"/>
  <c r="C784" i="7"/>
  <c r="C786" i="7" s="1"/>
  <c r="H802" i="7" l="1"/>
  <c r="H784" i="7"/>
  <c r="H786" i="7" s="1"/>
  <c r="F786" i="7"/>
  <c r="C783" i="7"/>
  <c r="C787" i="7" s="1"/>
  <c r="D783" i="7"/>
  <c r="D787" i="7" s="1"/>
  <c r="J776" i="7"/>
  <c r="J778" i="7" s="1"/>
  <c r="I776" i="7"/>
  <c r="I778" i="7" s="1"/>
  <c r="F776" i="7"/>
  <c r="E776" i="7"/>
  <c r="E778" i="7" s="1"/>
  <c r="D776" i="7"/>
  <c r="D778" i="7" s="1"/>
  <c r="C776" i="7"/>
  <c r="C778" i="7" s="1"/>
  <c r="H776" i="7" l="1"/>
  <c r="H778" i="7" s="1"/>
  <c r="F778" i="7"/>
  <c r="F775" i="7"/>
  <c r="F779" i="7" s="1"/>
  <c r="J775" i="7"/>
  <c r="J779" i="7" s="1"/>
  <c r="E775" i="7"/>
  <c r="E779" i="7" s="1"/>
  <c r="I775" i="7"/>
  <c r="I779" i="7" s="1"/>
  <c r="D775" i="7"/>
  <c r="D779" i="7" s="1"/>
  <c r="C775" i="7"/>
  <c r="C779" i="7" s="1"/>
  <c r="H775" i="7"/>
  <c r="H779" i="7" s="1"/>
  <c r="J769" i="7"/>
  <c r="I769" i="7"/>
  <c r="I771" i="7" s="1"/>
  <c r="G769" i="7"/>
  <c r="G771" i="7" s="1"/>
  <c r="F769" i="7"/>
  <c r="F771" i="7" s="1"/>
  <c r="E769" i="7"/>
  <c r="E771" i="7" s="1"/>
  <c r="D769" i="7"/>
  <c r="D771" i="7" s="1"/>
  <c r="C769" i="7"/>
  <c r="C771" i="7" s="1"/>
  <c r="J762" i="7"/>
  <c r="I762" i="7"/>
  <c r="I764" i="7" s="1"/>
  <c r="G762" i="7"/>
  <c r="G764" i="7" s="1"/>
  <c r="F762" i="7"/>
  <c r="E762" i="7"/>
  <c r="E764" i="7" s="1"/>
  <c r="D762" i="7"/>
  <c r="D764" i="7" s="1"/>
  <c r="C762" i="7"/>
  <c r="C764" i="7" s="1"/>
  <c r="J755" i="7"/>
  <c r="I755" i="7"/>
  <c r="I757" i="7" s="1"/>
  <c r="G755" i="7"/>
  <c r="G757" i="7" s="1"/>
  <c r="F755" i="7"/>
  <c r="E755" i="7"/>
  <c r="E757" i="7" s="1"/>
  <c r="D755" i="7"/>
  <c r="D757" i="7" s="1"/>
  <c r="C755" i="7"/>
  <c r="C757" i="7" s="1"/>
  <c r="J748" i="7"/>
  <c r="I748" i="7"/>
  <c r="I750" i="7" s="1"/>
  <c r="G748" i="7"/>
  <c r="G750" i="7" s="1"/>
  <c r="F748" i="7"/>
  <c r="E748" i="7"/>
  <c r="E750" i="7" s="1"/>
  <c r="D748" i="7"/>
  <c r="D750" i="7" s="1"/>
  <c r="C748" i="7"/>
  <c r="C750" i="7" s="1"/>
  <c r="K755" i="7" l="1"/>
  <c r="K757" i="7" s="1"/>
  <c r="J757" i="7"/>
  <c r="H762" i="7"/>
  <c r="H764" i="7" s="1"/>
  <c r="F764" i="7"/>
  <c r="K748" i="7"/>
  <c r="K750" i="7" s="1"/>
  <c r="J750" i="7"/>
  <c r="H755" i="7"/>
  <c r="H757" i="7" s="1"/>
  <c r="F757" i="7"/>
  <c r="H748" i="7"/>
  <c r="H750" i="7" s="1"/>
  <c r="F750" i="7"/>
  <c r="K769" i="7"/>
  <c r="K771" i="7" s="1"/>
  <c r="J771" i="7"/>
  <c r="K762" i="7"/>
  <c r="K764" i="7" s="1"/>
  <c r="J764" i="7"/>
  <c r="E754" i="7"/>
  <c r="E758" i="7" s="1"/>
  <c r="I754" i="7"/>
  <c r="I758" i="7" s="1"/>
  <c r="K754" i="7"/>
  <c r="K758" i="7" s="1"/>
  <c r="G754" i="7"/>
  <c r="G758" i="7" s="1"/>
  <c r="J754" i="7"/>
  <c r="J758" i="7" s="1"/>
  <c r="D754" i="7"/>
  <c r="D758" i="7" s="1"/>
  <c r="C754" i="7"/>
  <c r="C758" i="7" s="1"/>
  <c r="H754" i="7"/>
  <c r="C768" i="7"/>
  <c r="C772" i="7" s="1"/>
  <c r="H768" i="7"/>
  <c r="K768" i="7"/>
  <c r="F768" i="7"/>
  <c r="F772" i="7" s="1"/>
  <c r="J768" i="7"/>
  <c r="J772" i="7" s="1"/>
  <c r="D768" i="7"/>
  <c r="D772" i="7" s="1"/>
  <c r="I768" i="7"/>
  <c r="I772" i="7" s="1"/>
  <c r="C761" i="7"/>
  <c r="C765" i="7" s="1"/>
  <c r="G761" i="7"/>
  <c r="G765" i="7" s="1"/>
  <c r="K761" i="7"/>
  <c r="F761" i="7"/>
  <c r="F765" i="7" s="1"/>
  <c r="J761" i="7"/>
  <c r="J765" i="7" s="1"/>
  <c r="E761" i="7"/>
  <c r="E765" i="7" s="1"/>
  <c r="I761" i="7"/>
  <c r="I765" i="7" s="1"/>
  <c r="D761" i="7"/>
  <c r="D765" i="7" s="1"/>
  <c r="I747" i="7"/>
  <c r="I751" i="7" s="1"/>
  <c r="H747" i="7"/>
  <c r="K747" i="7"/>
  <c r="E747" i="7"/>
  <c r="E751" i="7" s="1"/>
  <c r="C747" i="7"/>
  <c r="C751" i="7" s="1"/>
  <c r="J747" i="7"/>
  <c r="J751" i="7" s="1"/>
  <c r="D747" i="7"/>
  <c r="D751" i="7" s="1"/>
  <c r="H769" i="7"/>
  <c r="H771" i="7" s="1"/>
  <c r="J741" i="7"/>
  <c r="J743" i="7" s="1"/>
  <c r="I741" i="7"/>
  <c r="I743" i="7" s="1"/>
  <c r="G741" i="7"/>
  <c r="G743" i="7" s="1"/>
  <c r="F741" i="7"/>
  <c r="E741" i="7"/>
  <c r="E743" i="7" s="1"/>
  <c r="D741" i="7"/>
  <c r="D743" i="7" s="1"/>
  <c r="C741" i="7"/>
  <c r="C743" i="7" s="1"/>
  <c r="J734" i="7"/>
  <c r="I734" i="7"/>
  <c r="I736" i="7" s="1"/>
  <c r="G734" i="7"/>
  <c r="G736" i="7" s="1"/>
  <c r="F734" i="7"/>
  <c r="E734" i="7"/>
  <c r="E736" i="7" s="1"/>
  <c r="D734" i="7"/>
  <c r="D736" i="7" s="1"/>
  <c r="C734" i="7"/>
  <c r="C736" i="7" s="1"/>
  <c r="J727" i="7"/>
  <c r="I727" i="7"/>
  <c r="I729" i="7" s="1"/>
  <c r="F727" i="7"/>
  <c r="G727" i="7"/>
  <c r="G729" i="7" s="1"/>
  <c r="E727" i="7"/>
  <c r="E729" i="7" s="1"/>
  <c r="D727" i="7"/>
  <c r="D729" i="7" s="1"/>
  <c r="C727" i="7"/>
  <c r="C729" i="7" s="1"/>
  <c r="J720" i="7"/>
  <c r="J722" i="7" s="1"/>
  <c r="I720" i="7"/>
  <c r="I722" i="7" s="1"/>
  <c r="G720" i="7"/>
  <c r="G722" i="7" s="1"/>
  <c r="F720" i="7"/>
  <c r="E720" i="7"/>
  <c r="E722" i="7" s="1"/>
  <c r="D720" i="7"/>
  <c r="D722" i="7" s="1"/>
  <c r="C720" i="7"/>
  <c r="C722" i="7" s="1"/>
  <c r="K751" i="7" l="1"/>
  <c r="K765" i="7"/>
  <c r="H751" i="7"/>
  <c r="K727" i="7"/>
  <c r="K729" i="7" s="1"/>
  <c r="J729" i="7"/>
  <c r="H734" i="7"/>
  <c r="H736" i="7" s="1"/>
  <c r="F736" i="7"/>
  <c r="H720" i="7"/>
  <c r="H722" i="7" s="1"/>
  <c r="F722" i="7"/>
  <c r="H727" i="7"/>
  <c r="H729" i="7" s="1"/>
  <c r="F729" i="7"/>
  <c r="H758" i="7"/>
  <c r="K734" i="7"/>
  <c r="K736" i="7" s="1"/>
  <c r="J736" i="7"/>
  <c r="H741" i="7"/>
  <c r="H743" i="7" s="1"/>
  <c r="F743" i="7"/>
  <c r="K772" i="7"/>
  <c r="H772" i="7"/>
  <c r="C740" i="7"/>
  <c r="C744" i="7" s="1"/>
  <c r="K740" i="7"/>
  <c r="I740" i="7"/>
  <c r="I744" i="7" s="1"/>
  <c r="E740" i="7"/>
  <c r="E744" i="7" s="1"/>
  <c r="G740" i="7"/>
  <c r="G744" i="7" s="1"/>
  <c r="F740" i="7"/>
  <c r="F744" i="7" s="1"/>
  <c r="H740" i="7"/>
  <c r="D740" i="7"/>
  <c r="D744" i="7" s="1"/>
  <c r="H726" i="7"/>
  <c r="G726" i="7"/>
  <c r="G730" i="7" s="1"/>
  <c r="J726" i="7"/>
  <c r="J730" i="7" s="1"/>
  <c r="D726" i="7"/>
  <c r="D730" i="7" s="1"/>
  <c r="C726" i="7"/>
  <c r="C730" i="7" s="1"/>
  <c r="I726" i="7"/>
  <c r="I730" i="7" s="1"/>
  <c r="C719" i="7"/>
  <c r="C723" i="7" s="1"/>
  <c r="D719" i="7"/>
  <c r="D723" i="7" s="1"/>
  <c r="K741" i="7"/>
  <c r="K743" i="7" s="1"/>
  <c r="J706" i="7"/>
  <c r="I706" i="7"/>
  <c r="I708" i="7" s="1"/>
  <c r="G706" i="7"/>
  <c r="G708" i="7" s="1"/>
  <c r="F706" i="7"/>
  <c r="E706" i="7"/>
  <c r="E708" i="7" s="1"/>
  <c r="D706" i="7"/>
  <c r="D708" i="7" s="1"/>
  <c r="C706" i="7"/>
  <c r="C708" i="7" s="1"/>
  <c r="D705" i="7"/>
  <c r="E705" i="7"/>
  <c r="F705" i="7"/>
  <c r="G705" i="7"/>
  <c r="G709" i="7" s="1"/>
  <c r="H705" i="7"/>
  <c r="I705" i="7"/>
  <c r="J705" i="7"/>
  <c r="K705" i="7"/>
  <c r="C705" i="7"/>
  <c r="J699" i="7"/>
  <c r="I699" i="7"/>
  <c r="I701" i="7" s="1"/>
  <c r="G699" i="7"/>
  <c r="G701" i="7" s="1"/>
  <c r="F699" i="7"/>
  <c r="E699" i="7"/>
  <c r="E701" i="7" s="1"/>
  <c r="D699" i="7"/>
  <c r="D701" i="7" s="1"/>
  <c r="C699" i="7"/>
  <c r="C701" i="7" s="1"/>
  <c r="J692" i="7"/>
  <c r="I692" i="7"/>
  <c r="I694" i="7" s="1"/>
  <c r="G692" i="7"/>
  <c r="G694" i="7" s="1"/>
  <c r="F692" i="7"/>
  <c r="E692" i="7"/>
  <c r="E694" i="7" s="1"/>
  <c r="D692" i="7"/>
  <c r="D694" i="7" s="1"/>
  <c r="C692" i="7"/>
  <c r="C694" i="7" s="1"/>
  <c r="J685" i="7"/>
  <c r="I685" i="7"/>
  <c r="I687" i="7" s="1"/>
  <c r="G685" i="7"/>
  <c r="G687" i="7" s="1"/>
  <c r="F685" i="7"/>
  <c r="E685" i="7"/>
  <c r="E687" i="7" s="1"/>
  <c r="D685" i="7"/>
  <c r="D687" i="7" s="1"/>
  <c r="C685" i="7"/>
  <c r="C687" i="7" s="1"/>
  <c r="D684" i="7"/>
  <c r="E684" i="7"/>
  <c r="E688" i="7" s="1"/>
  <c r="G684" i="7"/>
  <c r="H684" i="7"/>
  <c r="I684" i="7"/>
  <c r="K684" i="7"/>
  <c r="C684" i="7"/>
  <c r="E709" i="7" l="1"/>
  <c r="C709" i="7"/>
  <c r="I709" i="7"/>
  <c r="D709" i="7"/>
  <c r="C688" i="7"/>
  <c r="G688" i="7"/>
  <c r="I688" i="7"/>
  <c r="D688" i="7"/>
  <c r="J709" i="7"/>
  <c r="F709" i="7"/>
  <c r="H730" i="7"/>
  <c r="K692" i="7"/>
  <c r="K694" i="7" s="1"/>
  <c r="J694" i="7"/>
  <c r="H699" i="7"/>
  <c r="H701" i="7" s="1"/>
  <c r="F701" i="7"/>
  <c r="H706" i="7"/>
  <c r="H708" i="7" s="1"/>
  <c r="F708" i="7"/>
  <c r="K685" i="7"/>
  <c r="K687" i="7" s="1"/>
  <c r="J687" i="7"/>
  <c r="H692" i="7"/>
  <c r="H694" i="7" s="1"/>
  <c r="F694" i="7"/>
  <c r="H685" i="7"/>
  <c r="H687" i="7" s="1"/>
  <c r="F687" i="7"/>
  <c r="H744" i="7"/>
  <c r="K699" i="7"/>
  <c r="K701" i="7" s="1"/>
  <c r="J701" i="7"/>
  <c r="K706" i="7"/>
  <c r="K708" i="7" s="1"/>
  <c r="J708" i="7"/>
  <c r="K744" i="7"/>
  <c r="E698" i="7"/>
  <c r="E702" i="7" s="1"/>
  <c r="D698" i="7"/>
  <c r="D702" i="7" s="1"/>
  <c r="K698" i="7"/>
  <c r="F698" i="7"/>
  <c r="F702" i="7" s="1"/>
  <c r="J698" i="7"/>
  <c r="J702" i="7" s="1"/>
  <c r="I698" i="7"/>
  <c r="I702" i="7" s="1"/>
  <c r="C698" i="7"/>
  <c r="C702" i="7" s="1"/>
  <c r="H698" i="7"/>
  <c r="K691" i="7"/>
  <c r="H691" i="7"/>
  <c r="D691" i="7"/>
  <c r="D695" i="7" s="1"/>
  <c r="G691" i="7"/>
  <c r="G695" i="7" s="1"/>
  <c r="C691" i="7"/>
  <c r="C695" i="7" s="1"/>
  <c r="E691" i="7"/>
  <c r="E695" i="7" s="1"/>
  <c r="J678" i="7"/>
  <c r="I678" i="7"/>
  <c r="I680" i="7" s="1"/>
  <c r="G678" i="7"/>
  <c r="G680" i="7" s="1"/>
  <c r="F678" i="7"/>
  <c r="E678" i="7"/>
  <c r="E680" i="7" s="1"/>
  <c r="D678" i="7"/>
  <c r="D680" i="7" s="1"/>
  <c r="C678" i="7"/>
  <c r="C680" i="7" s="1"/>
  <c r="J655" i="7"/>
  <c r="J657" i="7" s="1"/>
  <c r="I655" i="7"/>
  <c r="I657" i="7" s="1"/>
  <c r="F655" i="7"/>
  <c r="E655" i="7"/>
  <c r="E657" i="7" s="1"/>
  <c r="D655" i="7"/>
  <c r="D657" i="7" s="1"/>
  <c r="C655" i="7"/>
  <c r="C657" i="7" s="1"/>
  <c r="H709" i="7" l="1"/>
  <c r="K709" i="7"/>
  <c r="K688" i="7"/>
  <c r="H688" i="7"/>
  <c r="H695" i="7"/>
  <c r="K695" i="7"/>
  <c r="H655" i="7"/>
  <c r="H657" i="7" s="1"/>
  <c r="F657" i="7"/>
  <c r="K678" i="7"/>
  <c r="K680" i="7" s="1"/>
  <c r="J680" i="7"/>
  <c r="H702" i="7"/>
  <c r="H678" i="7"/>
  <c r="H680" i="7" s="1"/>
  <c r="F680" i="7"/>
  <c r="K702" i="7"/>
  <c r="C654" i="7"/>
  <c r="C658" i="7" s="1"/>
  <c r="D654" i="7"/>
  <c r="D658" i="7" s="1"/>
  <c r="J648" i="7"/>
  <c r="I648" i="7"/>
  <c r="I650" i="7" s="1"/>
  <c r="G648" i="7"/>
  <c r="G650" i="7" s="1"/>
  <c r="F648" i="7"/>
  <c r="E648" i="7"/>
  <c r="E650" i="7" s="1"/>
  <c r="D648" i="7"/>
  <c r="D650" i="7" s="1"/>
  <c r="C648" i="7"/>
  <c r="C650" i="7" s="1"/>
  <c r="J641" i="7"/>
  <c r="I641" i="7"/>
  <c r="I643" i="7" s="1"/>
  <c r="G641" i="7"/>
  <c r="G643" i="7" s="1"/>
  <c r="F641" i="7"/>
  <c r="E641" i="7"/>
  <c r="E643" i="7" s="1"/>
  <c r="D641" i="7"/>
  <c r="D643" i="7" s="1"/>
  <c r="C641" i="7"/>
  <c r="C643" i="7" s="1"/>
  <c r="J634" i="7"/>
  <c r="I634" i="7"/>
  <c r="I636" i="7" s="1"/>
  <c r="F634" i="7"/>
  <c r="E634" i="7"/>
  <c r="E636" i="7" s="1"/>
  <c r="D634" i="7"/>
  <c r="D636" i="7" s="1"/>
  <c r="C634" i="7"/>
  <c r="C636" i="7" s="1"/>
  <c r="J627" i="7"/>
  <c r="I627" i="7"/>
  <c r="I629" i="7" s="1"/>
  <c r="G627" i="7"/>
  <c r="G629" i="7" s="1"/>
  <c r="F627" i="7"/>
  <c r="E627" i="7"/>
  <c r="E629" i="7" s="1"/>
  <c r="D627" i="7"/>
  <c r="D629" i="7" s="1"/>
  <c r="C627" i="7"/>
  <c r="C629" i="7" s="1"/>
  <c r="K627" i="7" l="1"/>
  <c r="K629" i="7" s="1"/>
  <c r="J629" i="7"/>
  <c r="H634" i="7"/>
  <c r="H636" i="7" s="1"/>
  <c r="F636" i="7"/>
  <c r="K648" i="7"/>
  <c r="K650" i="7" s="1"/>
  <c r="J650" i="7"/>
  <c r="H627" i="7"/>
  <c r="H629" i="7" s="1"/>
  <c r="F629" i="7"/>
  <c r="K641" i="7"/>
  <c r="K643" i="7" s="1"/>
  <c r="J643" i="7"/>
  <c r="H648" i="7"/>
  <c r="H650" i="7" s="1"/>
  <c r="F650" i="7"/>
  <c r="K634" i="7"/>
  <c r="K636" i="7" s="1"/>
  <c r="J636" i="7"/>
  <c r="H641" i="7"/>
  <c r="H643" i="7" s="1"/>
  <c r="F643" i="7"/>
  <c r="I647" i="7"/>
  <c r="I651" i="7" s="1"/>
  <c r="H647" i="7"/>
  <c r="J647" i="7"/>
  <c r="J651" i="7" s="1"/>
  <c r="E647" i="7"/>
  <c r="E651" i="7" s="1"/>
  <c r="D647" i="7"/>
  <c r="D651" i="7" s="1"/>
  <c r="C647" i="7"/>
  <c r="C651" i="7" s="1"/>
  <c r="K647" i="7"/>
  <c r="G647" i="7"/>
  <c r="G651" i="7" s="1"/>
  <c r="I640" i="7"/>
  <c r="I644" i="7" s="1"/>
  <c r="G640" i="7"/>
  <c r="G644" i="7" s="1"/>
  <c r="J640" i="7"/>
  <c r="J644" i="7" s="1"/>
  <c r="D633" i="7"/>
  <c r="D637" i="7" s="1"/>
  <c r="C633" i="7"/>
  <c r="C637" i="7" s="1"/>
  <c r="J633" i="7"/>
  <c r="J637" i="7" s="1"/>
  <c r="C626" i="7"/>
  <c r="C630" i="7" s="1"/>
  <c r="J626" i="7"/>
  <c r="J630" i="7" s="1"/>
  <c r="J620" i="7"/>
  <c r="I620" i="7"/>
  <c r="I622" i="7" s="1"/>
  <c r="G620" i="7"/>
  <c r="G622" i="7" s="1"/>
  <c r="F620" i="7"/>
  <c r="E620" i="7"/>
  <c r="E622" i="7" s="1"/>
  <c r="D620" i="7"/>
  <c r="D622" i="7" s="1"/>
  <c r="C620" i="7"/>
  <c r="C622" i="7" s="1"/>
  <c r="C613" i="7"/>
  <c r="C615" i="7" s="1"/>
  <c r="D613" i="7"/>
  <c r="D615" i="7" s="1"/>
  <c r="E613" i="7"/>
  <c r="E615" i="7" s="1"/>
  <c r="F613" i="7"/>
  <c r="G613" i="7"/>
  <c r="G615" i="7" s="1"/>
  <c r="I613" i="7"/>
  <c r="I615" i="7" s="1"/>
  <c r="J613" i="7"/>
  <c r="K651" i="7" l="1"/>
  <c r="H620" i="7"/>
  <c r="H622" i="7" s="1"/>
  <c r="F622" i="7"/>
  <c r="H613" i="7"/>
  <c r="H615" i="7" s="1"/>
  <c r="F615" i="7"/>
  <c r="K613" i="7"/>
  <c r="K615" i="7" s="1"/>
  <c r="J615" i="7"/>
  <c r="H651" i="7"/>
  <c r="K620" i="7"/>
  <c r="K622" i="7" s="1"/>
  <c r="J622" i="7"/>
  <c r="F619" i="7"/>
  <c r="F623" i="7" s="1"/>
  <c r="I619" i="7"/>
  <c r="I623" i="7" s="1"/>
  <c r="D619" i="7"/>
  <c r="D623" i="7" s="1"/>
  <c r="G619" i="7"/>
  <c r="G623" i="7" s="1"/>
  <c r="C619" i="7"/>
  <c r="C623" i="7" s="1"/>
  <c r="J619" i="7"/>
  <c r="J623" i="7" s="1"/>
  <c r="E619" i="7"/>
  <c r="E623" i="7" s="1"/>
  <c r="H612" i="7"/>
  <c r="C612" i="7"/>
  <c r="C616" i="7" s="1"/>
  <c r="K612" i="7"/>
  <c r="F612" i="7"/>
  <c r="F616" i="7" s="1"/>
  <c r="D612" i="7"/>
  <c r="D616" i="7" s="1"/>
  <c r="G612" i="7"/>
  <c r="G616" i="7" s="1"/>
  <c r="J612" i="7"/>
  <c r="J616" i="7" s="1"/>
  <c r="E612" i="7"/>
  <c r="E616" i="7" s="1"/>
  <c r="J606" i="7"/>
  <c r="J608" i="7" s="1"/>
  <c r="I606" i="7"/>
  <c r="I608" i="7" s="1"/>
  <c r="G606" i="7"/>
  <c r="G608" i="7" s="1"/>
  <c r="F606" i="7"/>
  <c r="E606" i="7"/>
  <c r="E608" i="7" s="1"/>
  <c r="D606" i="7"/>
  <c r="D608" i="7" s="1"/>
  <c r="C606" i="7"/>
  <c r="C608" i="7" s="1"/>
  <c r="J598" i="7"/>
  <c r="J600" i="7" s="1"/>
  <c r="I598" i="7"/>
  <c r="I600" i="7" s="1"/>
  <c r="G598" i="7"/>
  <c r="G600" i="7" s="1"/>
  <c r="F598" i="7"/>
  <c r="E598" i="7"/>
  <c r="E600" i="7" s="1"/>
  <c r="D598" i="7"/>
  <c r="D600" i="7" s="1"/>
  <c r="C598" i="7"/>
  <c r="C600" i="7" s="1"/>
  <c r="J591" i="7"/>
  <c r="J593" i="7" s="1"/>
  <c r="I591" i="7"/>
  <c r="I593" i="7" s="1"/>
  <c r="F591" i="7"/>
  <c r="E591" i="7"/>
  <c r="E593" i="7" s="1"/>
  <c r="D591" i="7"/>
  <c r="D593" i="7" s="1"/>
  <c r="C591" i="7"/>
  <c r="C593" i="7" s="1"/>
  <c r="J584" i="7"/>
  <c r="I584" i="7"/>
  <c r="I586" i="7" s="1"/>
  <c r="G584" i="7"/>
  <c r="G586" i="7" s="1"/>
  <c r="F584" i="7"/>
  <c r="E584" i="7"/>
  <c r="E586" i="7" s="1"/>
  <c r="D584" i="7"/>
  <c r="D586" i="7" s="1"/>
  <c r="C584" i="7"/>
  <c r="C586" i="7" s="1"/>
  <c r="J577" i="7"/>
  <c r="I577" i="7"/>
  <c r="I579" i="7" s="1"/>
  <c r="G577" i="7"/>
  <c r="G579" i="7" s="1"/>
  <c r="F577" i="7"/>
  <c r="E577" i="7"/>
  <c r="E579" i="7" s="1"/>
  <c r="D577" i="7"/>
  <c r="D579" i="7" s="1"/>
  <c r="C577" i="7"/>
  <c r="C579" i="7" s="1"/>
  <c r="J570" i="7"/>
  <c r="I570" i="7"/>
  <c r="I572" i="7" s="1"/>
  <c r="G570" i="7"/>
  <c r="G572" i="7" s="1"/>
  <c r="F570" i="7"/>
  <c r="E570" i="7"/>
  <c r="E572" i="7" s="1"/>
  <c r="D570" i="7"/>
  <c r="D572" i="7" s="1"/>
  <c r="C570" i="7"/>
  <c r="C572" i="7" s="1"/>
  <c r="K616" i="7" l="1"/>
  <c r="K577" i="7"/>
  <c r="K579" i="7" s="1"/>
  <c r="J579" i="7"/>
  <c r="H584" i="7"/>
  <c r="H586" i="7" s="1"/>
  <c r="F586" i="7"/>
  <c r="H606" i="7"/>
  <c r="H608" i="7" s="1"/>
  <c r="F608" i="7"/>
  <c r="K570" i="7"/>
  <c r="K572" i="7" s="1"/>
  <c r="J572" i="7"/>
  <c r="H577" i="7"/>
  <c r="H579" i="7" s="1"/>
  <c r="F579" i="7"/>
  <c r="H598" i="7"/>
  <c r="H600" i="7" s="1"/>
  <c r="F600" i="7"/>
  <c r="H570" i="7"/>
  <c r="H572" i="7" s="1"/>
  <c r="F572" i="7"/>
  <c r="K584" i="7"/>
  <c r="K586" i="7" s="1"/>
  <c r="J586" i="7"/>
  <c r="H591" i="7"/>
  <c r="H593" i="7" s="1"/>
  <c r="F593" i="7"/>
  <c r="H616" i="7"/>
  <c r="C590" i="7"/>
  <c r="C594" i="7" s="1"/>
  <c r="F605" i="7"/>
  <c r="F609" i="7" s="1"/>
  <c r="E605" i="7"/>
  <c r="E609" i="7" s="1"/>
  <c r="H605" i="7"/>
  <c r="D605" i="7"/>
  <c r="D609" i="7" s="1"/>
  <c r="G605" i="7"/>
  <c r="G609" i="7" s="1"/>
  <c r="D590" i="7"/>
  <c r="D594" i="7" s="1"/>
  <c r="F590" i="7"/>
  <c r="F594" i="7" s="1"/>
  <c r="I590" i="7"/>
  <c r="I594" i="7" s="1"/>
  <c r="C569" i="7"/>
  <c r="C573" i="7" s="1"/>
  <c r="G569" i="7"/>
  <c r="G573" i="7" s="1"/>
  <c r="E569" i="7"/>
  <c r="E573" i="7" s="1"/>
  <c r="D569" i="7"/>
  <c r="D573" i="7" s="1"/>
  <c r="H569" i="7"/>
  <c r="H573" i="7" s="1"/>
  <c r="J563" i="7"/>
  <c r="I563" i="7"/>
  <c r="I565" i="7" s="1"/>
  <c r="G563" i="7"/>
  <c r="G565" i="7" s="1"/>
  <c r="F563" i="7"/>
  <c r="E563" i="7"/>
  <c r="E565" i="7" s="1"/>
  <c r="D563" i="7"/>
  <c r="D565" i="7" s="1"/>
  <c r="C563" i="7"/>
  <c r="C565" i="7" s="1"/>
  <c r="J556" i="7"/>
  <c r="I556" i="7"/>
  <c r="I558" i="7" s="1"/>
  <c r="G556" i="7"/>
  <c r="G558" i="7" s="1"/>
  <c r="F556" i="7"/>
  <c r="E556" i="7"/>
  <c r="E558" i="7" s="1"/>
  <c r="D556" i="7"/>
  <c r="D558" i="7" s="1"/>
  <c r="C556" i="7"/>
  <c r="C558" i="7" s="1"/>
  <c r="J549" i="7"/>
  <c r="J551" i="7" s="1"/>
  <c r="I549" i="7"/>
  <c r="I551" i="7" s="1"/>
  <c r="G549" i="7"/>
  <c r="G551" i="7" s="1"/>
  <c r="F549" i="7"/>
  <c r="E549" i="7"/>
  <c r="E551" i="7" s="1"/>
  <c r="D549" i="7"/>
  <c r="D551" i="7" s="1"/>
  <c r="C549" i="7"/>
  <c r="C551" i="7" s="1"/>
  <c r="J542" i="7"/>
  <c r="I542" i="7"/>
  <c r="I544" i="7" s="1"/>
  <c r="G542" i="7"/>
  <c r="G544" i="7" s="1"/>
  <c r="F542" i="7"/>
  <c r="E542" i="7"/>
  <c r="E544" i="7" s="1"/>
  <c r="D542" i="7"/>
  <c r="D544" i="7" s="1"/>
  <c r="C542" i="7"/>
  <c r="C544" i="7" s="1"/>
  <c r="H609" i="7" l="1"/>
  <c r="H556" i="7"/>
  <c r="H558" i="7" s="1"/>
  <c r="F558" i="7"/>
  <c r="K542" i="7"/>
  <c r="K544" i="7" s="1"/>
  <c r="J544" i="7"/>
  <c r="H549" i="7"/>
  <c r="H551" i="7" s="1"/>
  <c r="F551" i="7"/>
  <c r="H542" i="7"/>
  <c r="H544" i="7" s="1"/>
  <c r="F544" i="7"/>
  <c r="K563" i="7"/>
  <c r="K565" i="7" s="1"/>
  <c r="J565" i="7"/>
  <c r="K556" i="7"/>
  <c r="K558" i="7" s="1"/>
  <c r="J558" i="7"/>
  <c r="H563" i="7"/>
  <c r="H565" i="7" s="1"/>
  <c r="F565" i="7"/>
  <c r="J590" i="7"/>
  <c r="J594" i="7" s="1"/>
  <c r="C583" i="7"/>
  <c r="C587" i="7" s="1"/>
  <c r="G583" i="7"/>
  <c r="G587" i="7" s="1"/>
  <c r="D583" i="7"/>
  <c r="D587" i="7" s="1"/>
  <c r="E583" i="7"/>
  <c r="E587" i="7" s="1"/>
  <c r="F583" i="7"/>
  <c r="F587" i="7" s="1"/>
  <c r="I583" i="7"/>
  <c r="I587" i="7" s="1"/>
  <c r="K583" i="7"/>
  <c r="K587" i="7" s="1"/>
  <c r="J562" i="7"/>
  <c r="J566" i="7" s="1"/>
  <c r="J555" i="7"/>
  <c r="J559" i="7" s="1"/>
  <c r="D555" i="7"/>
  <c r="D559" i="7" s="1"/>
  <c r="G555" i="7"/>
  <c r="G559" i="7" s="1"/>
  <c r="J541" i="7"/>
  <c r="J545" i="7" s="1"/>
  <c r="G541" i="7"/>
  <c r="G545" i="7" s="1"/>
  <c r="C541" i="7"/>
  <c r="C545" i="7" s="1"/>
  <c r="H548" i="7"/>
  <c r="J535" i="7"/>
  <c r="I535" i="7"/>
  <c r="I537" i="7" s="1"/>
  <c r="G535" i="7"/>
  <c r="G537" i="7" s="1"/>
  <c r="F535" i="7"/>
  <c r="E535" i="7"/>
  <c r="E537" i="7" s="1"/>
  <c r="D535" i="7"/>
  <c r="D537" i="7" s="1"/>
  <c r="C535" i="7"/>
  <c r="C537" i="7" s="1"/>
  <c r="H552" i="7" l="1"/>
  <c r="K535" i="7"/>
  <c r="K537" i="7" s="1"/>
  <c r="J537" i="7"/>
  <c r="H535" i="7"/>
  <c r="H537" i="7" s="1"/>
  <c r="F537" i="7"/>
  <c r="G534" i="7"/>
  <c r="G538" i="7" s="1"/>
  <c r="C534" i="7"/>
  <c r="C538" i="7" s="1"/>
  <c r="F534" i="7"/>
  <c r="F538" i="7" s="1"/>
  <c r="K534" i="7"/>
  <c r="E534" i="7"/>
  <c r="E538" i="7" s="1"/>
  <c r="J534" i="7"/>
  <c r="J538" i="7" s="1"/>
  <c r="D534" i="7"/>
  <c r="D538" i="7" s="1"/>
  <c r="J528" i="7"/>
  <c r="I528" i="7"/>
  <c r="I530" i="7" s="1"/>
  <c r="G528" i="7"/>
  <c r="G530" i="7" s="1"/>
  <c r="F528" i="7"/>
  <c r="E528" i="7"/>
  <c r="E530" i="7" s="1"/>
  <c r="D528" i="7"/>
  <c r="D530" i="7" s="1"/>
  <c r="C528" i="7"/>
  <c r="C530" i="7" s="1"/>
  <c r="J521" i="7"/>
  <c r="I521" i="7"/>
  <c r="I523" i="7" s="1"/>
  <c r="G521" i="7"/>
  <c r="G523" i="7" s="1"/>
  <c r="F521" i="7"/>
  <c r="E521" i="7"/>
  <c r="E523" i="7" s="1"/>
  <c r="D521" i="7"/>
  <c r="D523" i="7" s="1"/>
  <c r="H521" i="7" l="1"/>
  <c r="H523" i="7" s="1"/>
  <c r="F523" i="7"/>
  <c r="K528" i="7"/>
  <c r="K530" i="7" s="1"/>
  <c r="J530" i="7"/>
  <c r="K538" i="7"/>
  <c r="K521" i="7"/>
  <c r="K523" i="7" s="1"/>
  <c r="J523" i="7"/>
  <c r="H528" i="7"/>
  <c r="H530" i="7" s="1"/>
  <c r="F530" i="7"/>
  <c r="I527" i="7"/>
  <c r="I531" i="7" s="1"/>
  <c r="E527" i="7"/>
  <c r="E531" i="7" s="1"/>
  <c r="K527" i="7"/>
  <c r="D527" i="7"/>
  <c r="D531" i="7" s="1"/>
  <c r="C527" i="7"/>
  <c r="C531" i="7" s="1"/>
  <c r="J527" i="7"/>
  <c r="J531" i="7" s="1"/>
  <c r="C521" i="7"/>
  <c r="C523" i="7" s="1"/>
  <c r="J514" i="7"/>
  <c r="I514" i="7"/>
  <c r="I516" i="7" s="1"/>
  <c r="G514" i="7"/>
  <c r="G516" i="7" s="1"/>
  <c r="F514" i="7"/>
  <c r="F516" i="7" s="1"/>
  <c r="E514" i="7"/>
  <c r="E516" i="7" s="1"/>
  <c r="D514" i="7"/>
  <c r="D516" i="7" s="1"/>
  <c r="C514" i="7"/>
  <c r="C516" i="7" s="1"/>
  <c r="K531" i="7" l="1"/>
  <c r="K514" i="7"/>
  <c r="K516" i="7" s="1"/>
  <c r="J516" i="7"/>
  <c r="K520" i="7"/>
  <c r="K524" i="7" s="1"/>
  <c r="F520" i="7"/>
  <c r="F524" i="7" s="1"/>
  <c r="J520" i="7"/>
  <c r="J524" i="7" s="1"/>
  <c r="E520" i="7"/>
  <c r="E524" i="7" s="1"/>
  <c r="I520" i="7"/>
  <c r="I524" i="7" s="1"/>
  <c r="D520" i="7"/>
  <c r="D524" i="7" s="1"/>
  <c r="C520" i="7"/>
  <c r="C524" i="7" s="1"/>
  <c r="H520" i="7"/>
  <c r="H524" i="7" s="1"/>
  <c r="C513" i="7"/>
  <c r="C517" i="7" s="1"/>
  <c r="E513" i="7"/>
  <c r="E517" i="7" s="1"/>
  <c r="H513" i="7"/>
  <c r="D513" i="7"/>
  <c r="D517" i="7" s="1"/>
  <c r="F513" i="7"/>
  <c r="F517" i="7" s="1"/>
  <c r="G513" i="7"/>
  <c r="G517" i="7" s="1"/>
  <c r="H514" i="7"/>
  <c r="H516" i="7" s="1"/>
  <c r="J507" i="7"/>
  <c r="I507" i="7"/>
  <c r="I509" i="7" s="1"/>
  <c r="G507" i="7"/>
  <c r="G509" i="7" s="1"/>
  <c r="F507" i="7"/>
  <c r="E507" i="7"/>
  <c r="E509" i="7" s="1"/>
  <c r="D507" i="7"/>
  <c r="D509" i="7" s="1"/>
  <c r="C507" i="7"/>
  <c r="C509" i="7" s="1"/>
  <c r="J500" i="7"/>
  <c r="J502" i="7" s="1"/>
  <c r="I500" i="7"/>
  <c r="I502" i="7" s="1"/>
  <c r="G500" i="7"/>
  <c r="G502" i="7" s="1"/>
  <c r="F500" i="7"/>
  <c r="E500" i="7"/>
  <c r="E502" i="7" s="1"/>
  <c r="D500" i="7"/>
  <c r="D502" i="7" s="1"/>
  <c r="C500" i="7"/>
  <c r="C502" i="7" s="1"/>
  <c r="K507" i="7" l="1"/>
  <c r="K509" i="7" s="1"/>
  <c r="J509" i="7"/>
  <c r="H507" i="7"/>
  <c r="H509" i="7" s="1"/>
  <c r="F509" i="7"/>
  <c r="H500" i="7"/>
  <c r="H502" i="7" s="1"/>
  <c r="F502" i="7"/>
  <c r="H517" i="7"/>
  <c r="J499" i="7"/>
  <c r="J503" i="7" s="1"/>
  <c r="D499" i="7"/>
  <c r="D503" i="7" s="1"/>
  <c r="I499" i="7"/>
  <c r="I503" i="7" s="1"/>
  <c r="E499" i="7"/>
  <c r="E503" i="7" s="1"/>
  <c r="H499" i="7"/>
  <c r="J492" i="7"/>
  <c r="I492" i="7"/>
  <c r="I494" i="7" s="1"/>
  <c r="G492" i="7"/>
  <c r="G494" i="7" s="1"/>
  <c r="F492" i="7"/>
  <c r="E492" i="7"/>
  <c r="E494" i="7" s="1"/>
  <c r="D492" i="7"/>
  <c r="D494" i="7" s="1"/>
  <c r="C492" i="7"/>
  <c r="C494" i="7" s="1"/>
  <c r="D491" i="7"/>
  <c r="E491" i="7"/>
  <c r="E495" i="7" s="1"/>
  <c r="F491" i="7"/>
  <c r="G491" i="7"/>
  <c r="G495" i="7" s="1"/>
  <c r="K491" i="7"/>
  <c r="J485" i="7"/>
  <c r="I485" i="7"/>
  <c r="I487" i="7" s="1"/>
  <c r="G485" i="7"/>
  <c r="G487" i="7" s="1"/>
  <c r="F485" i="7"/>
  <c r="E485" i="7"/>
  <c r="E487" i="7" s="1"/>
  <c r="D485" i="7"/>
  <c r="D487" i="7" s="1"/>
  <c r="C485" i="7"/>
  <c r="C487" i="7" s="1"/>
  <c r="J478" i="7"/>
  <c r="I478" i="7"/>
  <c r="I480" i="7" s="1"/>
  <c r="G478" i="7"/>
  <c r="G480" i="7" s="1"/>
  <c r="F478" i="7"/>
  <c r="E478" i="7"/>
  <c r="E480" i="7" s="1"/>
  <c r="D478" i="7"/>
  <c r="D480" i="7" s="1"/>
  <c r="C478" i="7"/>
  <c r="C480" i="7" s="1"/>
  <c r="J471" i="7"/>
  <c r="I471" i="7"/>
  <c r="I473" i="7" s="1"/>
  <c r="G471" i="7"/>
  <c r="G473" i="7" s="1"/>
  <c r="F471" i="7"/>
  <c r="E471" i="7"/>
  <c r="E473" i="7" s="1"/>
  <c r="D471" i="7"/>
  <c r="D473" i="7" s="1"/>
  <c r="C471" i="7"/>
  <c r="C473" i="7" s="1"/>
  <c r="J464" i="7"/>
  <c r="J466" i="7" s="1"/>
  <c r="I464" i="7"/>
  <c r="I466" i="7" s="1"/>
  <c r="F464" i="7"/>
  <c r="E464" i="7"/>
  <c r="E466" i="7" s="1"/>
  <c r="D464" i="7"/>
  <c r="D466" i="7" s="1"/>
  <c r="C464" i="7"/>
  <c r="C466" i="7" s="1"/>
  <c r="J457" i="7"/>
  <c r="J459" i="7" s="1"/>
  <c r="I457" i="7"/>
  <c r="I459" i="7" s="1"/>
  <c r="F457" i="7"/>
  <c r="E457" i="7"/>
  <c r="E459" i="7" s="1"/>
  <c r="D457" i="7"/>
  <c r="D459" i="7" s="1"/>
  <c r="C457" i="7"/>
  <c r="C459" i="7" s="1"/>
  <c r="D495" i="7" l="1"/>
  <c r="F495" i="7"/>
  <c r="H457" i="7"/>
  <c r="H459" i="7" s="1"/>
  <c r="F459" i="7"/>
  <c r="H471" i="7"/>
  <c r="H473" i="7" s="1"/>
  <c r="F473" i="7"/>
  <c r="K485" i="7"/>
  <c r="K487" i="7" s="1"/>
  <c r="J487" i="7"/>
  <c r="K492" i="7"/>
  <c r="K494" i="7" s="1"/>
  <c r="J494" i="7"/>
  <c r="H464" i="7"/>
  <c r="H466" i="7" s="1"/>
  <c r="F466" i="7"/>
  <c r="K478" i="7"/>
  <c r="K480" i="7" s="1"/>
  <c r="J480" i="7"/>
  <c r="H485" i="7"/>
  <c r="H487" i="7" s="1"/>
  <c r="F487" i="7"/>
  <c r="H492" i="7"/>
  <c r="H494" i="7" s="1"/>
  <c r="F494" i="7"/>
  <c r="H503" i="7"/>
  <c r="K471" i="7"/>
  <c r="K473" i="7" s="1"/>
  <c r="J473" i="7"/>
  <c r="H478" i="7"/>
  <c r="H480" i="7" s="1"/>
  <c r="F480" i="7"/>
  <c r="D470" i="7"/>
  <c r="D474" i="7" s="1"/>
  <c r="J470" i="7"/>
  <c r="J474" i="7" s="1"/>
  <c r="C484" i="7"/>
  <c r="C488" i="7" s="1"/>
  <c r="K484" i="7"/>
  <c r="K488" i="7" s="1"/>
  <c r="I484" i="7"/>
  <c r="I488" i="7" s="1"/>
  <c r="D484" i="7"/>
  <c r="D488" i="7" s="1"/>
  <c r="I477" i="7"/>
  <c r="I481" i="7" s="1"/>
  <c r="D477" i="7"/>
  <c r="D481" i="7" s="1"/>
  <c r="H477" i="7"/>
  <c r="K477" i="7"/>
  <c r="K481" i="7" s="1"/>
  <c r="G477" i="7"/>
  <c r="G481" i="7" s="1"/>
  <c r="C477" i="7"/>
  <c r="C481" i="7" s="1"/>
  <c r="E477" i="7"/>
  <c r="E481" i="7" s="1"/>
  <c r="C463" i="7"/>
  <c r="C467" i="7" s="1"/>
  <c r="J450" i="7"/>
  <c r="I450" i="7"/>
  <c r="I452" i="7" s="1"/>
  <c r="G450" i="7"/>
  <c r="G452" i="7" s="1"/>
  <c r="F450" i="7"/>
  <c r="E450" i="7"/>
  <c r="E452" i="7" s="1"/>
  <c r="D450" i="7"/>
  <c r="D452" i="7" s="1"/>
  <c r="C450" i="7"/>
  <c r="C452" i="7" s="1"/>
  <c r="J443" i="7"/>
  <c r="I443" i="7"/>
  <c r="I445" i="7" s="1"/>
  <c r="G443" i="7"/>
  <c r="G445" i="7" s="1"/>
  <c r="F443" i="7"/>
  <c r="E443" i="7"/>
  <c r="E445" i="7" s="1"/>
  <c r="D443" i="7"/>
  <c r="D445" i="7" s="1"/>
  <c r="C443" i="7"/>
  <c r="C445" i="7" s="1"/>
  <c r="K495" i="7" l="1"/>
  <c r="H481" i="7"/>
  <c r="K450" i="7"/>
  <c r="K452" i="7" s="1"/>
  <c r="J452" i="7"/>
  <c r="K443" i="7"/>
  <c r="K445" i="7" s="1"/>
  <c r="J445" i="7"/>
  <c r="H450" i="7"/>
  <c r="H452" i="7" s="1"/>
  <c r="F452" i="7"/>
  <c r="H443" i="7"/>
  <c r="H445" i="7" s="1"/>
  <c r="F445" i="7"/>
  <c r="F449" i="7"/>
  <c r="F453" i="7" s="1"/>
  <c r="C449" i="7"/>
  <c r="C453" i="7" s="1"/>
  <c r="K449" i="7"/>
  <c r="D449" i="7"/>
  <c r="D453" i="7" s="1"/>
  <c r="E449" i="7"/>
  <c r="E453" i="7" s="1"/>
  <c r="G449" i="7"/>
  <c r="G453" i="7" s="1"/>
  <c r="D442" i="7"/>
  <c r="D446" i="7" s="1"/>
  <c r="H442" i="7"/>
  <c r="F442" i="7"/>
  <c r="F446" i="7" s="1"/>
  <c r="I442" i="7"/>
  <c r="I446" i="7" s="1"/>
  <c r="C442" i="7"/>
  <c r="C446" i="7" s="1"/>
  <c r="E442" i="7"/>
  <c r="E446" i="7" s="1"/>
  <c r="J436" i="7"/>
  <c r="J438" i="7" s="1"/>
  <c r="I436" i="7"/>
  <c r="I438" i="7" s="1"/>
  <c r="G436" i="7"/>
  <c r="G438" i="7" s="1"/>
  <c r="F436" i="7"/>
  <c r="E436" i="7"/>
  <c r="E438" i="7" s="1"/>
  <c r="D436" i="7"/>
  <c r="D438" i="7" s="1"/>
  <c r="C436" i="7"/>
  <c r="C438" i="7" s="1"/>
  <c r="J429" i="7"/>
  <c r="J431" i="7" s="1"/>
  <c r="I429" i="7"/>
  <c r="I431" i="7" s="1"/>
  <c r="G429" i="7"/>
  <c r="G431" i="7" s="1"/>
  <c r="F429" i="7"/>
  <c r="E429" i="7"/>
  <c r="E431" i="7" s="1"/>
  <c r="D429" i="7"/>
  <c r="D431" i="7" s="1"/>
  <c r="C429" i="7"/>
  <c r="C431" i="7" s="1"/>
  <c r="J421" i="7"/>
  <c r="J423" i="7" s="1"/>
  <c r="I421" i="7"/>
  <c r="I423" i="7" s="1"/>
  <c r="G421" i="7"/>
  <c r="G423" i="7" s="1"/>
  <c r="F421" i="7"/>
  <c r="E421" i="7"/>
  <c r="E423" i="7" s="1"/>
  <c r="D387" i="7"/>
  <c r="D421" i="7"/>
  <c r="D423" i="7" s="1"/>
  <c r="C421" i="7"/>
  <c r="C423" i="7" s="1"/>
  <c r="J414" i="7"/>
  <c r="J416" i="7" s="1"/>
  <c r="I414" i="7"/>
  <c r="I416" i="7" s="1"/>
  <c r="F414" i="7"/>
  <c r="E414" i="7"/>
  <c r="E416" i="7" s="1"/>
  <c r="D414" i="7"/>
  <c r="D416" i="7" s="1"/>
  <c r="C414" i="7"/>
  <c r="C416" i="7" s="1"/>
  <c r="J407" i="7"/>
  <c r="J409" i="7" s="1"/>
  <c r="I407" i="7"/>
  <c r="I409" i="7" s="1"/>
  <c r="F407" i="7"/>
  <c r="E407" i="7"/>
  <c r="E409" i="7" s="1"/>
  <c r="D407" i="7"/>
  <c r="D409" i="7" s="1"/>
  <c r="C407" i="7"/>
  <c r="C409" i="7" s="1"/>
  <c r="H446" i="7" l="1"/>
  <c r="K453" i="7"/>
  <c r="H436" i="7"/>
  <c r="H438" i="7" s="1"/>
  <c r="F438" i="7"/>
  <c r="H407" i="7"/>
  <c r="H409" i="7" s="1"/>
  <c r="F409" i="7"/>
  <c r="H429" i="7"/>
  <c r="H431" i="7" s="1"/>
  <c r="F431" i="7"/>
  <c r="H421" i="7"/>
  <c r="H423" i="7" s="1"/>
  <c r="F423" i="7"/>
  <c r="H414" i="7"/>
  <c r="H416" i="7" s="1"/>
  <c r="F416" i="7"/>
  <c r="C435" i="7"/>
  <c r="C439" i="7" s="1"/>
  <c r="E420" i="7"/>
  <c r="E424" i="7" s="1"/>
  <c r="C420" i="7"/>
  <c r="C424" i="7" s="1"/>
  <c r="D420" i="7"/>
  <c r="D424" i="7" s="1"/>
  <c r="H420" i="7"/>
  <c r="H424" i="7" s="1"/>
  <c r="F420" i="7"/>
  <c r="F424" i="7" s="1"/>
  <c r="D413" i="7"/>
  <c r="D417" i="7" s="1"/>
  <c r="F413" i="7"/>
  <c r="F417" i="7" s="1"/>
  <c r="C413" i="7"/>
  <c r="C417" i="7" s="1"/>
  <c r="E413" i="7"/>
  <c r="E417" i="7" s="1"/>
  <c r="D406" i="7"/>
  <c r="D410" i="7" s="1"/>
  <c r="J393" i="7"/>
  <c r="I393" i="7"/>
  <c r="I395" i="7" s="1"/>
  <c r="G393" i="7"/>
  <c r="G395" i="7" s="1"/>
  <c r="F393" i="7"/>
  <c r="E393" i="7"/>
  <c r="E395" i="7" s="1"/>
  <c r="D393" i="7"/>
  <c r="D395" i="7" s="1"/>
  <c r="C393" i="7"/>
  <c r="C395" i="7" s="1"/>
  <c r="J386" i="7"/>
  <c r="K386" i="7" s="1"/>
  <c r="I386" i="7"/>
  <c r="G386" i="7"/>
  <c r="F386" i="7"/>
  <c r="H386" i="7" s="1"/>
  <c r="E386" i="7"/>
  <c r="D386" i="7"/>
  <c r="D388" i="7" s="1"/>
  <c r="C386" i="7"/>
  <c r="D385" i="7"/>
  <c r="E385" i="7"/>
  <c r="F385" i="7"/>
  <c r="G385" i="7"/>
  <c r="H385" i="7"/>
  <c r="I385" i="7"/>
  <c r="K385" i="7"/>
  <c r="J379" i="7"/>
  <c r="I379" i="7"/>
  <c r="I381" i="7" s="1"/>
  <c r="G379" i="7"/>
  <c r="G381" i="7" s="1"/>
  <c r="F379" i="7"/>
  <c r="E379" i="7"/>
  <c r="E381" i="7" s="1"/>
  <c r="D379" i="7"/>
  <c r="D381" i="7" s="1"/>
  <c r="C379" i="7"/>
  <c r="C381" i="7" s="1"/>
  <c r="K379" i="7" l="1"/>
  <c r="K381" i="7" s="1"/>
  <c r="J381" i="7"/>
  <c r="H379" i="7"/>
  <c r="H381" i="7" s="1"/>
  <c r="F381" i="7"/>
  <c r="K393" i="7"/>
  <c r="K395" i="7" s="1"/>
  <c r="J395" i="7"/>
  <c r="H393" i="7"/>
  <c r="H395" i="7" s="1"/>
  <c r="F395" i="7"/>
  <c r="J378" i="7"/>
  <c r="J382" i="7" s="1"/>
  <c r="I378" i="7"/>
  <c r="I382" i="7" s="1"/>
  <c r="E378" i="7"/>
  <c r="E382" i="7" s="1"/>
  <c r="D378" i="7"/>
  <c r="D382" i="7" s="1"/>
  <c r="H392" i="7"/>
  <c r="C392" i="7"/>
  <c r="C396" i="7" s="1"/>
  <c r="E392" i="7"/>
  <c r="E396" i="7" s="1"/>
  <c r="K392" i="7"/>
  <c r="D392" i="7"/>
  <c r="D396" i="7" s="1"/>
  <c r="J392" i="7"/>
  <c r="J396" i="7" s="1"/>
  <c r="C385" i="7"/>
  <c r="D389" i="7"/>
  <c r="J372" i="7"/>
  <c r="J374" i="7" s="1"/>
  <c r="I372" i="7"/>
  <c r="I374" i="7" s="1"/>
  <c r="G372" i="7"/>
  <c r="G374" i="7" s="1"/>
  <c r="F372" i="7"/>
  <c r="E372" i="7"/>
  <c r="E374" i="7" s="1"/>
  <c r="D372" i="7"/>
  <c r="D374" i="7" s="1"/>
  <c r="C372" i="7"/>
  <c r="C374" i="7" s="1"/>
  <c r="J365" i="7"/>
  <c r="J367" i="7" s="1"/>
  <c r="I365" i="7"/>
  <c r="I367" i="7" s="1"/>
  <c r="F365" i="7"/>
  <c r="E365" i="7"/>
  <c r="E367" i="7" s="1"/>
  <c r="D365" i="7"/>
  <c r="D367" i="7" s="1"/>
  <c r="C365" i="7"/>
  <c r="C367" i="7" s="1"/>
  <c r="K396" i="7" l="1"/>
  <c r="H365" i="7"/>
  <c r="H367" i="7" s="1"/>
  <c r="F367" i="7"/>
  <c r="H396" i="7"/>
  <c r="H372" i="7"/>
  <c r="H374" i="7" s="1"/>
  <c r="F374" i="7"/>
  <c r="I371" i="7"/>
  <c r="I375" i="7" s="1"/>
  <c r="E371" i="7"/>
  <c r="E375" i="7" s="1"/>
  <c r="F364" i="7"/>
  <c r="F368" i="7" s="1"/>
  <c r="E364" i="7"/>
  <c r="E368" i="7" s="1"/>
  <c r="J358" i="7"/>
  <c r="I358" i="7"/>
  <c r="I360" i="7" s="1"/>
  <c r="G358" i="7"/>
  <c r="G360" i="7" s="1"/>
  <c r="F358" i="7"/>
  <c r="E358" i="7"/>
  <c r="E360" i="7" s="1"/>
  <c r="D358" i="7"/>
  <c r="D360" i="7" s="1"/>
  <c r="C358" i="7"/>
  <c r="C360" i="7" s="1"/>
  <c r="D357" i="7"/>
  <c r="K357" i="7"/>
  <c r="J351" i="7"/>
  <c r="I351" i="7"/>
  <c r="I353" i="7" s="1"/>
  <c r="G351" i="7"/>
  <c r="G353" i="7" s="1"/>
  <c r="F351" i="7"/>
  <c r="E351" i="7"/>
  <c r="E353" i="7" s="1"/>
  <c r="D351" i="7"/>
  <c r="D353" i="7" s="1"/>
  <c r="C351" i="7"/>
  <c r="C353" i="7" s="1"/>
  <c r="J344" i="7"/>
  <c r="I344" i="7"/>
  <c r="I346" i="7" s="1"/>
  <c r="G344" i="7"/>
  <c r="G346" i="7" s="1"/>
  <c r="F344" i="7"/>
  <c r="E344" i="7"/>
  <c r="E346" i="7" s="1"/>
  <c r="D344" i="7"/>
  <c r="D346" i="7" s="1"/>
  <c r="C344" i="7"/>
  <c r="C346" i="7" s="1"/>
  <c r="J337" i="7"/>
  <c r="G337" i="7"/>
  <c r="G339" i="7" s="1"/>
  <c r="I337" i="7"/>
  <c r="I339" i="7" s="1"/>
  <c r="F337" i="7"/>
  <c r="E337" i="7"/>
  <c r="E339" i="7" s="1"/>
  <c r="D337" i="7"/>
  <c r="D339" i="7" s="1"/>
  <c r="C337" i="7"/>
  <c r="C339" i="7" s="1"/>
  <c r="J330" i="7"/>
  <c r="I330" i="7"/>
  <c r="I332" i="7" s="1"/>
  <c r="G330" i="7"/>
  <c r="G332" i="7" s="1"/>
  <c r="F330" i="7"/>
  <c r="E330" i="7"/>
  <c r="E332" i="7" s="1"/>
  <c r="D330" i="7"/>
  <c r="D332" i="7" s="1"/>
  <c r="C330" i="7"/>
  <c r="C332" i="7" s="1"/>
  <c r="K330" i="7" l="1"/>
  <c r="K332" i="7" s="1"/>
  <c r="J332" i="7"/>
  <c r="H337" i="7"/>
  <c r="H339" i="7" s="1"/>
  <c r="F339" i="7"/>
  <c r="H330" i="7"/>
  <c r="H332" i="7" s="1"/>
  <c r="F332" i="7"/>
  <c r="K351" i="7"/>
  <c r="K353" i="7" s="1"/>
  <c r="J353" i="7"/>
  <c r="K344" i="7"/>
  <c r="K346" i="7" s="1"/>
  <c r="J346" i="7"/>
  <c r="H351" i="7"/>
  <c r="H353" i="7" s="1"/>
  <c r="F353" i="7"/>
  <c r="K358" i="7"/>
  <c r="K360" i="7" s="1"/>
  <c r="J360" i="7"/>
  <c r="K337" i="7"/>
  <c r="K339" i="7" s="1"/>
  <c r="J339" i="7"/>
  <c r="H344" i="7"/>
  <c r="H346" i="7" s="1"/>
  <c r="F346" i="7"/>
  <c r="H358" i="7"/>
  <c r="H360" i="7" s="1"/>
  <c r="F360" i="7"/>
  <c r="D361" i="7"/>
  <c r="H364" i="7"/>
  <c r="H368" i="7" s="1"/>
  <c r="J364" i="7"/>
  <c r="J368" i="7" s="1"/>
  <c r="I364" i="7"/>
  <c r="I368" i="7" s="1"/>
  <c r="C364" i="7"/>
  <c r="C368" i="7" s="1"/>
  <c r="D343" i="7"/>
  <c r="D347" i="7" s="1"/>
  <c r="C350" i="7"/>
  <c r="C354" i="7" s="1"/>
  <c r="K350" i="7"/>
  <c r="E350" i="7"/>
  <c r="E354" i="7" s="1"/>
  <c r="D350" i="7"/>
  <c r="D354" i="7" s="1"/>
  <c r="C357" i="7"/>
  <c r="C361" i="7" s="1"/>
  <c r="C336" i="7"/>
  <c r="C340" i="7" s="1"/>
  <c r="D336" i="7"/>
  <c r="D340" i="7" s="1"/>
  <c r="H336" i="7"/>
  <c r="F336" i="7"/>
  <c r="F340" i="7" s="1"/>
  <c r="E336" i="7"/>
  <c r="E340" i="7" s="1"/>
  <c r="C329" i="7"/>
  <c r="C333" i="7" s="1"/>
  <c r="F329" i="7"/>
  <c r="F333" i="7" s="1"/>
  <c r="D329" i="7"/>
  <c r="D333" i="7" s="1"/>
  <c r="H329" i="7"/>
  <c r="E329" i="7"/>
  <c r="E333" i="7" s="1"/>
  <c r="J323" i="7"/>
  <c r="I323" i="7"/>
  <c r="I325" i="7" s="1"/>
  <c r="G323" i="7"/>
  <c r="G325" i="7" s="1"/>
  <c r="F323" i="7"/>
  <c r="E323" i="7"/>
  <c r="E325" i="7" s="1"/>
  <c r="D323" i="7"/>
  <c r="D325" i="7" s="1"/>
  <c r="C323" i="7"/>
  <c r="C325" i="7" s="1"/>
  <c r="J316" i="7"/>
  <c r="J318" i="7" s="1"/>
  <c r="I316" i="7"/>
  <c r="I318" i="7" s="1"/>
  <c r="G316" i="7"/>
  <c r="G318" i="7" s="1"/>
  <c r="F316" i="7"/>
  <c r="E316" i="7"/>
  <c r="E318" i="7" s="1"/>
  <c r="D316" i="7"/>
  <c r="D318" i="7" s="1"/>
  <c r="C316" i="7"/>
  <c r="C318" i="7" s="1"/>
  <c r="J308" i="7"/>
  <c r="J310" i="7" s="1"/>
  <c r="I308" i="7"/>
  <c r="I310" i="7" s="1"/>
  <c r="F308" i="7"/>
  <c r="E308" i="7"/>
  <c r="E310" i="7" s="1"/>
  <c r="D308" i="7"/>
  <c r="D310" i="7" s="1"/>
  <c r="H340" i="7" l="1"/>
  <c r="H333" i="7"/>
  <c r="K354" i="7"/>
  <c r="K361" i="7"/>
  <c r="H316" i="7"/>
  <c r="H318" i="7" s="1"/>
  <c r="F318" i="7"/>
  <c r="H308" i="7"/>
  <c r="H310" i="7" s="1"/>
  <c r="F310" i="7"/>
  <c r="K323" i="7"/>
  <c r="K325" i="7" s="1"/>
  <c r="J325" i="7"/>
  <c r="H323" i="7"/>
  <c r="H325" i="7" s="1"/>
  <c r="F325" i="7"/>
  <c r="K343" i="7"/>
  <c r="K347" i="7" s="1"/>
  <c r="C343" i="7"/>
  <c r="C347" i="7" s="1"/>
  <c r="I322" i="7"/>
  <c r="I326" i="7" s="1"/>
  <c r="G322" i="7"/>
  <c r="G326" i="7" s="1"/>
  <c r="E322" i="7"/>
  <c r="E326" i="7" s="1"/>
  <c r="C322" i="7"/>
  <c r="C326" i="7" s="1"/>
  <c r="D322" i="7"/>
  <c r="D326" i="7" s="1"/>
  <c r="I315" i="7"/>
  <c r="I319" i="7" s="1"/>
  <c r="D315" i="7"/>
  <c r="D319" i="7" s="1"/>
  <c r="H315" i="7"/>
  <c r="G315" i="7"/>
  <c r="G319" i="7" s="1"/>
  <c r="C315" i="7"/>
  <c r="C319" i="7" s="1"/>
  <c r="E315" i="7"/>
  <c r="E319" i="7" s="1"/>
  <c r="H307" i="7"/>
  <c r="D307" i="7"/>
  <c r="D311" i="7" s="1"/>
  <c r="I307" i="7"/>
  <c r="I311" i="7" s="1"/>
  <c r="E307" i="7"/>
  <c r="E311" i="7" s="1"/>
  <c r="C311" i="7"/>
  <c r="F307" i="7"/>
  <c r="F311" i="7" s="1"/>
  <c r="J307" i="7"/>
  <c r="J311" i="7" s="1"/>
  <c r="J301" i="7"/>
  <c r="I301" i="7"/>
  <c r="I303" i="7" s="1"/>
  <c r="G301" i="7"/>
  <c r="G303" i="7" s="1"/>
  <c r="F301" i="7"/>
  <c r="E301" i="7"/>
  <c r="E303" i="7" s="1"/>
  <c r="D301" i="7"/>
  <c r="D303" i="7" s="1"/>
  <c r="J294" i="7"/>
  <c r="J296" i="7" s="1"/>
  <c r="I294" i="7"/>
  <c r="I296" i="7" s="1"/>
  <c r="G294" i="7"/>
  <c r="G296" i="7" s="1"/>
  <c r="F294" i="7"/>
  <c r="E294" i="7"/>
  <c r="E296" i="7" s="1"/>
  <c r="D294" i="7"/>
  <c r="D296" i="7" s="1"/>
  <c r="J287" i="7"/>
  <c r="I287" i="7"/>
  <c r="I289" i="7" s="1"/>
  <c r="G287" i="7"/>
  <c r="G289" i="7" s="1"/>
  <c r="F287" i="7"/>
  <c r="E287" i="7"/>
  <c r="E289" i="7" s="1"/>
  <c r="D287" i="7"/>
  <c r="D289" i="7" s="1"/>
  <c r="C287" i="7"/>
  <c r="C289" i="7" s="1"/>
  <c r="K287" i="7" l="1"/>
  <c r="K289" i="7" s="1"/>
  <c r="J289" i="7"/>
  <c r="K301" i="7"/>
  <c r="K303" i="7" s="1"/>
  <c r="J303" i="7"/>
  <c r="H287" i="7"/>
  <c r="H289" i="7" s="1"/>
  <c r="F289" i="7"/>
  <c r="H301" i="7"/>
  <c r="H303" i="7" s="1"/>
  <c r="F303" i="7"/>
  <c r="H294" i="7"/>
  <c r="H296" i="7" s="1"/>
  <c r="F296" i="7"/>
  <c r="H311" i="7"/>
  <c r="H319" i="7"/>
  <c r="E300" i="7"/>
  <c r="E304" i="7" s="1"/>
  <c r="K300" i="7"/>
  <c r="I300" i="7"/>
  <c r="I304" i="7" s="1"/>
  <c r="K294" i="7"/>
  <c r="K296" i="7" s="1"/>
  <c r="J280" i="7"/>
  <c r="I280" i="7"/>
  <c r="I282" i="7" s="1"/>
  <c r="G280" i="7"/>
  <c r="G282" i="7" s="1"/>
  <c r="F280" i="7"/>
  <c r="E280" i="7"/>
  <c r="E282" i="7" s="1"/>
  <c r="D280" i="7"/>
  <c r="D282" i="7" s="1"/>
  <c r="C280" i="7"/>
  <c r="C282" i="7" s="1"/>
  <c r="J273" i="7"/>
  <c r="I273" i="7"/>
  <c r="I275" i="7" s="1"/>
  <c r="G273" i="7"/>
  <c r="G275" i="7" s="1"/>
  <c r="F273" i="7"/>
  <c r="E273" i="7"/>
  <c r="E275" i="7" s="1"/>
  <c r="D273" i="7"/>
  <c r="D275" i="7" s="1"/>
  <c r="C273" i="7"/>
  <c r="C275" i="7" s="1"/>
  <c r="J266" i="7"/>
  <c r="I266" i="7"/>
  <c r="I268" i="7" s="1"/>
  <c r="G266" i="7"/>
  <c r="G268" i="7" s="1"/>
  <c r="F266" i="7"/>
  <c r="E266" i="7"/>
  <c r="E268" i="7" s="1"/>
  <c r="D266" i="7"/>
  <c r="D268" i="7" s="1"/>
  <c r="C266" i="7"/>
  <c r="C268" i="7" s="1"/>
  <c r="J259" i="7"/>
  <c r="J261" i="7" s="1"/>
  <c r="I259" i="7"/>
  <c r="I261" i="7" s="1"/>
  <c r="G259" i="7"/>
  <c r="G261" i="7" s="1"/>
  <c r="F259" i="7"/>
  <c r="E259" i="7"/>
  <c r="E261" i="7" s="1"/>
  <c r="D259" i="7"/>
  <c r="D261" i="7" s="1"/>
  <c r="C259" i="7"/>
  <c r="C261" i="7" s="1"/>
  <c r="D258" i="7"/>
  <c r="I258" i="7"/>
  <c r="C258" i="7"/>
  <c r="I262" i="7" l="1"/>
  <c r="D262" i="7"/>
  <c r="C262" i="7"/>
  <c r="H259" i="7"/>
  <c r="H261" i="7" s="1"/>
  <c r="F261" i="7"/>
  <c r="K280" i="7"/>
  <c r="K282" i="7" s="1"/>
  <c r="J282" i="7"/>
  <c r="K273" i="7"/>
  <c r="K275" i="7" s="1"/>
  <c r="J275" i="7"/>
  <c r="H280" i="7"/>
  <c r="H282" i="7" s="1"/>
  <c r="F282" i="7"/>
  <c r="K266" i="7"/>
  <c r="K268" i="7" s="1"/>
  <c r="J268" i="7"/>
  <c r="H273" i="7"/>
  <c r="H275" i="7" s="1"/>
  <c r="F275" i="7"/>
  <c r="H266" i="7"/>
  <c r="H268" i="7" s="1"/>
  <c r="F268" i="7"/>
  <c r="K304" i="7"/>
  <c r="C279" i="7"/>
  <c r="C283" i="7" s="1"/>
  <c r="K279" i="7"/>
  <c r="H279" i="7"/>
  <c r="D279" i="7"/>
  <c r="D283" i="7" s="1"/>
  <c r="H286" i="7"/>
  <c r="H290" i="7" s="1"/>
  <c r="C286" i="7"/>
  <c r="C290" i="7" s="1"/>
  <c r="D286" i="7"/>
  <c r="D290" i="7" s="1"/>
  <c r="G286" i="7"/>
  <c r="G290" i="7" s="1"/>
  <c r="K286" i="7"/>
  <c r="K290" i="7" s="1"/>
  <c r="C272" i="7"/>
  <c r="C276" i="7" s="1"/>
  <c r="F272" i="7"/>
  <c r="F276" i="7" s="1"/>
  <c r="J272" i="7"/>
  <c r="J276" i="7" s="1"/>
  <c r="E272" i="7"/>
  <c r="E276" i="7" s="1"/>
  <c r="H272" i="7"/>
  <c r="G272" i="7"/>
  <c r="G276" i="7" s="1"/>
  <c r="F265" i="7"/>
  <c r="F269" i="7" s="1"/>
  <c r="E265" i="7"/>
  <c r="E269" i="7" s="1"/>
  <c r="H265" i="7"/>
  <c r="H269" i="7" s="1"/>
  <c r="D265" i="7"/>
  <c r="D269" i="7" s="1"/>
  <c r="J265" i="7"/>
  <c r="J269" i="7" s="1"/>
  <c r="I265" i="7"/>
  <c r="I269" i="7" s="1"/>
  <c r="C265" i="7"/>
  <c r="C269" i="7" s="1"/>
  <c r="G265" i="7"/>
  <c r="G269" i="7" s="1"/>
  <c r="J252" i="7"/>
  <c r="J254" i="7" s="1"/>
  <c r="I252" i="7"/>
  <c r="I254" i="7" s="1"/>
  <c r="F252" i="7"/>
  <c r="E252" i="7"/>
  <c r="E254" i="7" s="1"/>
  <c r="D252" i="7"/>
  <c r="D254" i="7" s="1"/>
  <c r="C252" i="7"/>
  <c r="C254" i="7" s="1"/>
  <c r="H276" i="7" l="1"/>
  <c r="K283" i="7"/>
  <c r="H252" i="7"/>
  <c r="H254" i="7" s="1"/>
  <c r="F254" i="7"/>
  <c r="H283" i="7"/>
  <c r="J245" i="7"/>
  <c r="K245" i="7" s="1"/>
  <c r="I245" i="7"/>
  <c r="G245" i="7"/>
  <c r="F245" i="7"/>
  <c r="H245" i="7" s="1"/>
  <c r="E245" i="7"/>
  <c r="D245" i="7"/>
  <c r="C245" i="7"/>
  <c r="J238" i="7"/>
  <c r="I238" i="7"/>
  <c r="I240" i="7" s="1"/>
  <c r="G238" i="7"/>
  <c r="G240" i="7" s="1"/>
  <c r="F238" i="7"/>
  <c r="E238" i="7"/>
  <c r="E240" i="7" s="1"/>
  <c r="D238" i="7"/>
  <c r="D240" i="7" s="1"/>
  <c r="C238" i="7"/>
  <c r="C240" i="7" s="1"/>
  <c r="J231" i="7"/>
  <c r="I231" i="7"/>
  <c r="I233" i="7" s="1"/>
  <c r="G231" i="7"/>
  <c r="G233" i="7" s="1"/>
  <c r="F231" i="7"/>
  <c r="E231" i="7"/>
  <c r="E233" i="7" s="1"/>
  <c r="D231" i="7"/>
  <c r="D233" i="7" s="1"/>
  <c r="C231" i="7"/>
  <c r="C233" i="7" s="1"/>
  <c r="J224" i="7"/>
  <c r="I224" i="7"/>
  <c r="I226" i="7" s="1"/>
  <c r="G224" i="7"/>
  <c r="G226" i="7" s="1"/>
  <c r="F224" i="7"/>
  <c r="E224" i="7"/>
  <c r="E226" i="7" s="1"/>
  <c r="D224" i="7"/>
  <c r="D226" i="7" s="1"/>
  <c r="C224" i="7"/>
  <c r="C226" i="7" s="1"/>
  <c r="J217" i="7"/>
  <c r="I217" i="7"/>
  <c r="I219" i="7" s="1"/>
  <c r="G217" i="7"/>
  <c r="G219" i="7" s="1"/>
  <c r="F217" i="7"/>
  <c r="E217" i="7"/>
  <c r="E219" i="7" s="1"/>
  <c r="D217" i="7"/>
  <c r="D219" i="7" s="1"/>
  <c r="C217" i="7"/>
  <c r="C219" i="7" s="1"/>
  <c r="C247" i="7" l="1"/>
  <c r="C248" i="7"/>
  <c r="K217" i="7"/>
  <c r="K219" i="7" s="1"/>
  <c r="J219" i="7"/>
  <c r="H224" i="7"/>
  <c r="H226" i="7" s="1"/>
  <c r="F226" i="7"/>
  <c r="H217" i="7"/>
  <c r="H219" i="7" s="1"/>
  <c r="F219" i="7"/>
  <c r="K238" i="7"/>
  <c r="K240" i="7" s="1"/>
  <c r="J240" i="7"/>
  <c r="K231" i="7"/>
  <c r="K233" i="7" s="1"/>
  <c r="J233" i="7"/>
  <c r="H238" i="7"/>
  <c r="H240" i="7" s="1"/>
  <c r="F240" i="7"/>
  <c r="K224" i="7"/>
  <c r="K226" i="7" s="1"/>
  <c r="J226" i="7"/>
  <c r="H231" i="7"/>
  <c r="H233" i="7" s="1"/>
  <c r="F233" i="7"/>
  <c r="D244" i="7"/>
  <c r="K244" i="7"/>
  <c r="I244" i="7"/>
  <c r="G237" i="7"/>
  <c r="G241" i="7" s="1"/>
  <c r="E237" i="7"/>
  <c r="E241" i="7" s="1"/>
  <c r="C237" i="7"/>
  <c r="C241" i="7" s="1"/>
  <c r="D237" i="7"/>
  <c r="D241" i="7" s="1"/>
  <c r="K237" i="7"/>
  <c r="K230" i="7"/>
  <c r="K234" i="7" s="1"/>
  <c r="E230" i="7"/>
  <c r="E234" i="7" s="1"/>
  <c r="I230" i="7"/>
  <c r="I234" i="7" s="1"/>
  <c r="D230" i="7"/>
  <c r="D234" i="7" s="1"/>
  <c r="H230" i="7"/>
  <c r="C230" i="7"/>
  <c r="C234" i="7" s="1"/>
  <c r="F230" i="7"/>
  <c r="F234" i="7" s="1"/>
  <c r="I223" i="7"/>
  <c r="I227" i="7" s="1"/>
  <c r="E223" i="7"/>
  <c r="E227" i="7" s="1"/>
  <c r="C223" i="7"/>
  <c r="C227" i="7" s="1"/>
  <c r="H223" i="7"/>
  <c r="D223" i="7"/>
  <c r="D227" i="7" s="1"/>
  <c r="K223" i="7"/>
  <c r="K227" i="7" s="1"/>
  <c r="G223" i="7"/>
  <c r="G227" i="7" s="1"/>
  <c r="J223" i="7"/>
  <c r="J227" i="7" s="1"/>
  <c r="F223" i="7"/>
  <c r="F227" i="7" s="1"/>
  <c r="J210" i="7"/>
  <c r="J212" i="7" s="1"/>
  <c r="I210" i="7"/>
  <c r="I212" i="7" s="1"/>
  <c r="G210" i="7"/>
  <c r="G212" i="7" s="1"/>
  <c r="F210" i="7"/>
  <c r="E210" i="7"/>
  <c r="E212" i="7" s="1"/>
  <c r="D210" i="7"/>
  <c r="D212" i="7" s="1"/>
  <c r="C210" i="7"/>
  <c r="C212" i="7" s="1"/>
  <c r="J196" i="7"/>
  <c r="I196" i="7"/>
  <c r="I198" i="7" s="1"/>
  <c r="G196" i="7"/>
  <c r="G198" i="7" s="1"/>
  <c r="F196" i="7"/>
  <c r="E196" i="7"/>
  <c r="E198" i="7" s="1"/>
  <c r="D196" i="7"/>
  <c r="D198" i="7" s="1"/>
  <c r="C196" i="7"/>
  <c r="C198" i="7" s="1"/>
  <c r="K241" i="7" l="1"/>
  <c r="H234" i="7"/>
  <c r="K196" i="7"/>
  <c r="K198" i="7" s="1"/>
  <c r="J198" i="7"/>
  <c r="H210" i="7"/>
  <c r="H212" i="7" s="1"/>
  <c r="F212" i="7"/>
  <c r="H196" i="7"/>
  <c r="H198" i="7" s="1"/>
  <c r="F198" i="7"/>
  <c r="H227" i="7"/>
  <c r="I209" i="7"/>
  <c r="I213" i="7" s="1"/>
  <c r="D209" i="7"/>
  <c r="D213" i="7" s="1"/>
  <c r="H209" i="7"/>
  <c r="C209" i="7"/>
  <c r="C213" i="7" s="1"/>
  <c r="F209" i="7"/>
  <c r="F213" i="7" s="1"/>
  <c r="J209" i="7"/>
  <c r="J213" i="7" s="1"/>
  <c r="E209" i="7"/>
  <c r="E213" i="7" s="1"/>
  <c r="K195" i="7"/>
  <c r="E195" i="7"/>
  <c r="E199" i="7" s="1"/>
  <c r="J195" i="7"/>
  <c r="J199" i="7" s="1"/>
  <c r="F195" i="7"/>
  <c r="F199" i="7" s="1"/>
  <c r="I195" i="7"/>
  <c r="I199" i="7" s="1"/>
  <c r="C195" i="7"/>
  <c r="C199" i="7" s="1"/>
  <c r="H195" i="7"/>
  <c r="H199" i="7" s="1"/>
  <c r="J188" i="7"/>
  <c r="J190" i="7" s="1"/>
  <c r="I188" i="7"/>
  <c r="I190" i="7" s="1"/>
  <c r="G188" i="7"/>
  <c r="G190" i="7" s="1"/>
  <c r="F188" i="7"/>
  <c r="E188" i="7"/>
  <c r="E190" i="7" s="1"/>
  <c r="D188" i="7"/>
  <c r="D190" i="7" s="1"/>
  <c r="J181" i="7"/>
  <c r="J183" i="7" s="1"/>
  <c r="I181" i="7"/>
  <c r="I183" i="7" s="1"/>
  <c r="G181" i="7"/>
  <c r="G183" i="7" s="1"/>
  <c r="F181" i="7"/>
  <c r="E181" i="7"/>
  <c r="E183" i="7" s="1"/>
  <c r="D181" i="7"/>
  <c r="D183" i="7" s="1"/>
  <c r="J174" i="7"/>
  <c r="J176" i="7" s="1"/>
  <c r="I174" i="7"/>
  <c r="I176" i="7" s="1"/>
  <c r="G174" i="7"/>
  <c r="G176" i="7" s="1"/>
  <c r="F174" i="7"/>
  <c r="E174" i="7"/>
  <c r="E176" i="7" s="1"/>
  <c r="D174" i="7"/>
  <c r="D176" i="7" s="1"/>
  <c r="H213" i="7" l="1"/>
  <c r="K199" i="7"/>
  <c r="H181" i="7"/>
  <c r="H183" i="7" s="1"/>
  <c r="F183" i="7"/>
  <c r="H174" i="7"/>
  <c r="H176" i="7" s="1"/>
  <c r="F176" i="7"/>
  <c r="H188" i="7"/>
  <c r="H190" i="7" s="1"/>
  <c r="F190" i="7"/>
  <c r="H173" i="7"/>
  <c r="H177" i="7" s="1"/>
  <c r="G173" i="7"/>
  <c r="G177" i="7" s="1"/>
  <c r="J173" i="7"/>
  <c r="J177" i="7" s="1"/>
  <c r="F173" i="7"/>
  <c r="F177" i="7" s="1"/>
  <c r="I173" i="7"/>
  <c r="I177" i="7" s="1"/>
  <c r="E173" i="7"/>
  <c r="E177" i="7" s="1"/>
  <c r="E187" i="7"/>
  <c r="E191" i="7" s="1"/>
  <c r="J167" i="7"/>
  <c r="I167" i="7"/>
  <c r="I169" i="7" s="1"/>
  <c r="G167" i="7"/>
  <c r="G169" i="7" s="1"/>
  <c r="F167" i="7"/>
  <c r="E167" i="7"/>
  <c r="E169" i="7" s="1"/>
  <c r="D167" i="7"/>
  <c r="D169" i="7" s="1"/>
  <c r="J160" i="7"/>
  <c r="I160" i="7"/>
  <c r="I162" i="7" s="1"/>
  <c r="G160" i="7"/>
  <c r="G162" i="7" s="1"/>
  <c r="F160" i="7"/>
  <c r="E160" i="7"/>
  <c r="E162" i="7" s="1"/>
  <c r="D160" i="7"/>
  <c r="D162" i="7" s="1"/>
  <c r="J153" i="7"/>
  <c r="I153" i="7"/>
  <c r="I155" i="7" s="1"/>
  <c r="G153" i="7"/>
  <c r="G155" i="7" s="1"/>
  <c r="F153" i="7"/>
  <c r="E153" i="7"/>
  <c r="E155" i="7" s="1"/>
  <c r="D153" i="7"/>
  <c r="D155" i="7" s="1"/>
  <c r="J146" i="7"/>
  <c r="I146" i="7"/>
  <c r="I148" i="7" s="1"/>
  <c r="G146" i="7"/>
  <c r="G148" i="7" s="1"/>
  <c r="F146" i="7"/>
  <c r="E146" i="7"/>
  <c r="E148" i="7" s="1"/>
  <c r="D146" i="7"/>
  <c r="D148" i="7" s="1"/>
  <c r="J139" i="7"/>
  <c r="I139" i="7"/>
  <c r="I141" i="7" s="1"/>
  <c r="G139" i="7"/>
  <c r="G141" i="7" s="1"/>
  <c r="F139" i="7"/>
  <c r="E139" i="7"/>
  <c r="E141" i="7" s="1"/>
  <c r="D139" i="7"/>
  <c r="D141" i="7" s="1"/>
  <c r="J132" i="7"/>
  <c r="I132" i="7"/>
  <c r="I134" i="7" s="1"/>
  <c r="G132" i="7"/>
  <c r="G134" i="7" s="1"/>
  <c r="F132" i="7"/>
  <c r="E132" i="7"/>
  <c r="E134" i="7" s="1"/>
  <c r="D132" i="7"/>
  <c r="D134" i="7" s="1"/>
  <c r="J125" i="7"/>
  <c r="J127" i="7" s="1"/>
  <c r="I125" i="7"/>
  <c r="I127" i="7" s="1"/>
  <c r="G125" i="7"/>
  <c r="G127" i="7" s="1"/>
  <c r="F125" i="7"/>
  <c r="E125" i="7"/>
  <c r="E127" i="7" s="1"/>
  <c r="D125" i="7"/>
  <c r="D127" i="7" s="1"/>
  <c r="J118" i="7"/>
  <c r="J120" i="7" s="1"/>
  <c r="I118" i="7"/>
  <c r="I120" i="7" s="1"/>
  <c r="G118" i="7"/>
  <c r="G120" i="7" s="1"/>
  <c r="E118" i="7"/>
  <c r="E120" i="7" s="1"/>
  <c r="F118" i="7"/>
  <c r="D118" i="7"/>
  <c r="D120" i="7" s="1"/>
  <c r="H118" i="7" l="1"/>
  <c r="H120" i="7" s="1"/>
  <c r="F120" i="7"/>
  <c r="K132" i="7"/>
  <c r="K134" i="7" s="1"/>
  <c r="J134" i="7"/>
  <c r="K146" i="7"/>
  <c r="K148" i="7" s="1"/>
  <c r="J148" i="7"/>
  <c r="K160" i="7"/>
  <c r="K162" i="7" s="1"/>
  <c r="J162" i="7"/>
  <c r="H132" i="7"/>
  <c r="H134" i="7" s="1"/>
  <c r="F134" i="7"/>
  <c r="H146" i="7"/>
  <c r="H148" i="7" s="1"/>
  <c r="F148" i="7"/>
  <c r="H160" i="7"/>
  <c r="H162" i="7" s="1"/>
  <c r="F162" i="7"/>
  <c r="K139" i="7"/>
  <c r="K141" i="7" s="1"/>
  <c r="J141" i="7"/>
  <c r="K153" i="7"/>
  <c r="K155" i="7" s="1"/>
  <c r="J155" i="7"/>
  <c r="K167" i="7"/>
  <c r="K169" i="7" s="1"/>
  <c r="J169" i="7"/>
  <c r="H125" i="7"/>
  <c r="H127" i="7" s="1"/>
  <c r="F127" i="7"/>
  <c r="H139" i="7"/>
  <c r="H141" i="7" s="1"/>
  <c r="F141" i="7"/>
  <c r="H153" i="7"/>
  <c r="H155" i="7" s="1"/>
  <c r="F155" i="7"/>
  <c r="H167" i="7"/>
  <c r="H169" i="7" s="1"/>
  <c r="F169" i="7"/>
  <c r="I166" i="7"/>
  <c r="I170" i="7" s="1"/>
  <c r="E166" i="7"/>
  <c r="E170" i="7" s="1"/>
  <c r="K166" i="7"/>
  <c r="K170" i="7" s="1"/>
  <c r="E159" i="7"/>
  <c r="E163" i="7" s="1"/>
  <c r="D159" i="7"/>
  <c r="D163" i="7" s="1"/>
  <c r="I159" i="7"/>
  <c r="I163" i="7" s="1"/>
  <c r="F159" i="7"/>
  <c r="F163" i="7" s="1"/>
  <c r="J138" i="7"/>
  <c r="J142" i="7" s="1"/>
  <c r="I138" i="7"/>
  <c r="I142" i="7" s="1"/>
  <c r="K138" i="7"/>
  <c r="D138" i="7"/>
  <c r="D142" i="7" s="1"/>
  <c r="E131" i="7"/>
  <c r="E135" i="7" s="1"/>
  <c r="G131" i="7"/>
  <c r="G135" i="7" s="1"/>
  <c r="I131" i="7"/>
  <c r="I135" i="7" s="1"/>
  <c r="I124" i="7"/>
  <c r="I128" i="7" s="1"/>
  <c r="E124" i="7"/>
  <c r="E128" i="7" s="1"/>
  <c r="G124" i="7"/>
  <c r="G128" i="7" s="1"/>
  <c r="H124" i="7"/>
  <c r="J124" i="7"/>
  <c r="J128" i="7" s="1"/>
  <c r="F124" i="7"/>
  <c r="F128" i="7" s="1"/>
  <c r="F117" i="7"/>
  <c r="F121" i="7" s="1"/>
  <c r="J117" i="7"/>
  <c r="J121" i="7" s="1"/>
  <c r="E117" i="7"/>
  <c r="E121" i="7" s="1"/>
  <c r="I117" i="7"/>
  <c r="I121" i="7" s="1"/>
  <c r="G117" i="7"/>
  <c r="G121" i="7" s="1"/>
  <c r="J111" i="7"/>
  <c r="I111" i="7"/>
  <c r="I113" i="7" s="1"/>
  <c r="G111" i="7"/>
  <c r="G113" i="7" s="1"/>
  <c r="F111" i="7"/>
  <c r="E111" i="7"/>
  <c r="E113" i="7" s="1"/>
  <c r="D111" i="7"/>
  <c r="D113" i="7" s="1"/>
  <c r="J97" i="7"/>
  <c r="J99" i="7" s="1"/>
  <c r="I97" i="7"/>
  <c r="I99" i="7" s="1"/>
  <c r="G97" i="7"/>
  <c r="G99" i="7" s="1"/>
  <c r="F97" i="7"/>
  <c r="E97" i="7"/>
  <c r="E99" i="7" s="1"/>
  <c r="D97" i="7"/>
  <c r="D99" i="7" s="1"/>
  <c r="J90" i="7"/>
  <c r="I90" i="7"/>
  <c r="I92" i="7" s="1"/>
  <c r="G90" i="7"/>
  <c r="G92" i="7" s="1"/>
  <c r="F90" i="7"/>
  <c r="E90" i="7"/>
  <c r="E92" i="7" s="1"/>
  <c r="D90" i="7"/>
  <c r="D92" i="7" s="1"/>
  <c r="J83" i="7"/>
  <c r="I83" i="7"/>
  <c r="I85" i="7" s="1"/>
  <c r="G83" i="7"/>
  <c r="G85" i="7" s="1"/>
  <c r="F83" i="7"/>
  <c r="E83" i="7"/>
  <c r="E85" i="7" s="1"/>
  <c r="D83" i="7"/>
  <c r="D85" i="7" s="1"/>
  <c r="J76" i="7"/>
  <c r="I76" i="7"/>
  <c r="I78" i="7" s="1"/>
  <c r="G76" i="7"/>
  <c r="G78" i="7" s="1"/>
  <c r="F76" i="7"/>
  <c r="E76" i="7"/>
  <c r="E78" i="7" s="1"/>
  <c r="D76" i="7"/>
  <c r="D78" i="7" s="1"/>
  <c r="J69" i="7"/>
  <c r="I69" i="7"/>
  <c r="I71" i="7" s="1"/>
  <c r="G69" i="7"/>
  <c r="G71" i="7" s="1"/>
  <c r="F69" i="7"/>
  <c r="E69" i="7"/>
  <c r="E71" i="7" s="1"/>
  <c r="D69" i="7"/>
  <c r="D71" i="7" s="1"/>
  <c r="H128" i="7" l="1"/>
  <c r="K69" i="7"/>
  <c r="K71" i="7" s="1"/>
  <c r="J71" i="7"/>
  <c r="K83" i="7"/>
  <c r="K85" i="7" s="1"/>
  <c r="J85" i="7"/>
  <c r="H69" i="7"/>
  <c r="H71" i="7" s="1"/>
  <c r="F71" i="7"/>
  <c r="H83" i="7"/>
  <c r="H85" i="7" s="1"/>
  <c r="F85" i="7"/>
  <c r="H97" i="7"/>
  <c r="H99" i="7" s="1"/>
  <c r="F99" i="7"/>
  <c r="K76" i="7"/>
  <c r="K78" i="7" s="1"/>
  <c r="J78" i="7"/>
  <c r="K90" i="7"/>
  <c r="K92" i="7" s="1"/>
  <c r="J92" i="7"/>
  <c r="K111" i="7"/>
  <c r="K113" i="7" s="1"/>
  <c r="J113" i="7"/>
  <c r="K142" i="7"/>
  <c r="H76" i="7"/>
  <c r="H78" i="7" s="1"/>
  <c r="F78" i="7"/>
  <c r="H90" i="7"/>
  <c r="H92" i="7" s="1"/>
  <c r="F92" i="7"/>
  <c r="H111" i="7"/>
  <c r="H113" i="7" s="1"/>
  <c r="F113" i="7"/>
  <c r="K110" i="7"/>
  <c r="F110" i="7"/>
  <c r="F114" i="7" s="1"/>
  <c r="I110" i="7"/>
  <c r="I114" i="7" s="1"/>
  <c r="E110" i="7"/>
  <c r="E114" i="7" s="1"/>
  <c r="G110" i="7"/>
  <c r="G114" i="7" s="1"/>
  <c r="J110" i="7"/>
  <c r="J114" i="7" s="1"/>
  <c r="L110" i="7"/>
  <c r="L114" i="7" s="1"/>
  <c r="H110" i="7"/>
  <c r="D110" i="7"/>
  <c r="D114" i="7" s="1"/>
  <c r="D96" i="7"/>
  <c r="D100" i="7" s="1"/>
  <c r="K96" i="7"/>
  <c r="J96" i="7"/>
  <c r="J100" i="7" s="1"/>
  <c r="G96" i="7"/>
  <c r="G100" i="7" s="1"/>
  <c r="J89" i="7"/>
  <c r="J93" i="7" s="1"/>
  <c r="I89" i="7"/>
  <c r="I93" i="7" s="1"/>
  <c r="E89" i="7"/>
  <c r="E93" i="7" s="1"/>
  <c r="K89" i="7"/>
  <c r="D89" i="7"/>
  <c r="D93" i="7" s="1"/>
  <c r="J82" i="7"/>
  <c r="J86" i="7" s="1"/>
  <c r="K82" i="7"/>
  <c r="K86" i="7" s="1"/>
  <c r="D82" i="7"/>
  <c r="D86" i="7" s="1"/>
  <c r="F75" i="7"/>
  <c r="F79" i="7" s="1"/>
  <c r="K75" i="7"/>
  <c r="E75" i="7"/>
  <c r="E79" i="7" s="1"/>
  <c r="J75" i="7"/>
  <c r="J79" i="7" s="1"/>
  <c r="D75" i="7"/>
  <c r="D79" i="7" s="1"/>
  <c r="G75" i="7"/>
  <c r="G79" i="7" s="1"/>
  <c r="G68" i="7"/>
  <c r="G72" i="7" s="1"/>
  <c r="J68" i="7"/>
  <c r="J72" i="7" s="1"/>
  <c r="F68" i="7"/>
  <c r="F72" i="7" s="1"/>
  <c r="I68" i="7"/>
  <c r="I72" i="7" s="1"/>
  <c r="E68" i="7"/>
  <c r="E72" i="7" s="1"/>
  <c r="H68" i="7"/>
  <c r="D68" i="7"/>
  <c r="D72" i="7" s="1"/>
  <c r="K97" i="7"/>
  <c r="K99" i="7" s="1"/>
  <c r="J55" i="7"/>
  <c r="J57" i="7" s="1"/>
  <c r="I55" i="7"/>
  <c r="I57" i="7" s="1"/>
  <c r="G55" i="7"/>
  <c r="G57" i="7" s="1"/>
  <c r="F55" i="7"/>
  <c r="H55" i="7" s="1"/>
  <c r="H57" i="7" s="1"/>
  <c r="E55" i="7"/>
  <c r="E57" i="7" s="1"/>
  <c r="D55" i="7"/>
  <c r="D57" i="7" s="1"/>
  <c r="F56" i="7"/>
  <c r="J48" i="7"/>
  <c r="I48" i="7"/>
  <c r="I50" i="7" s="1"/>
  <c r="G48" i="7"/>
  <c r="G50" i="7" s="1"/>
  <c r="F48" i="7"/>
  <c r="E48" i="7"/>
  <c r="E50" i="7" s="1"/>
  <c r="D48" i="7"/>
  <c r="D50" i="7" s="1"/>
  <c r="L41" i="7"/>
  <c r="L43" i="7" s="1"/>
  <c r="J41" i="7"/>
  <c r="I41" i="7"/>
  <c r="I43" i="7" s="1"/>
  <c r="G41" i="7"/>
  <c r="G43" i="7" s="1"/>
  <c r="F41" i="7"/>
  <c r="E41" i="7"/>
  <c r="E43" i="7" s="1"/>
  <c r="D41" i="7"/>
  <c r="D43" i="7" s="1"/>
  <c r="D40" i="7"/>
  <c r="J34" i="7"/>
  <c r="I34" i="7"/>
  <c r="I36" i="7" s="1"/>
  <c r="G34" i="7"/>
  <c r="G36" i="7" s="1"/>
  <c r="F34" i="7"/>
  <c r="E34" i="7"/>
  <c r="E36" i="7" s="1"/>
  <c r="D34" i="7"/>
  <c r="D36" i="7" s="1"/>
  <c r="K114" i="7" l="1"/>
  <c r="H72" i="7"/>
  <c r="K93" i="7"/>
  <c r="K79" i="7"/>
  <c r="K34" i="7"/>
  <c r="K36" i="7" s="1"/>
  <c r="J36" i="7"/>
  <c r="H41" i="7"/>
  <c r="H43" i="7" s="1"/>
  <c r="F43" i="7"/>
  <c r="H34" i="7"/>
  <c r="H36" i="7" s="1"/>
  <c r="F36" i="7"/>
  <c r="H114" i="7"/>
  <c r="K48" i="7"/>
  <c r="K50" i="7" s="1"/>
  <c r="J50" i="7"/>
  <c r="K41" i="7"/>
  <c r="K43" i="7" s="1"/>
  <c r="J43" i="7"/>
  <c r="H48" i="7"/>
  <c r="H50" i="7" s="1"/>
  <c r="F50" i="7"/>
  <c r="F57" i="7"/>
  <c r="K100" i="7"/>
  <c r="D44" i="7"/>
  <c r="D54" i="7"/>
  <c r="D58" i="7" s="1"/>
  <c r="G54" i="7"/>
  <c r="G58" i="7" s="1"/>
  <c r="J54" i="7"/>
  <c r="J58" i="7" s="1"/>
  <c r="F54" i="7"/>
  <c r="F58" i="7" s="1"/>
  <c r="H54" i="7"/>
  <c r="H58" i="7" s="1"/>
  <c r="I54" i="7"/>
  <c r="I58" i="7" s="1"/>
  <c r="E54" i="7"/>
  <c r="E58" i="7" s="1"/>
  <c r="L40" i="7"/>
  <c r="L44" i="7" s="1"/>
  <c r="H40" i="7"/>
  <c r="J40" i="7"/>
  <c r="J44" i="7" s="1"/>
  <c r="F40" i="7"/>
  <c r="F44" i="7" s="1"/>
  <c r="I40" i="7"/>
  <c r="I44" i="7" s="1"/>
  <c r="E40" i="7"/>
  <c r="E44" i="7" s="1"/>
  <c r="K40" i="7"/>
  <c r="K44" i="7" s="1"/>
  <c r="G40" i="7"/>
  <c r="G44" i="7" s="1"/>
  <c r="J33" i="7"/>
  <c r="J37" i="7" s="1"/>
  <c r="F33" i="7"/>
  <c r="F37" i="7" s="1"/>
  <c r="C33" i="7"/>
  <c r="C37" i="7" s="1"/>
  <c r="I33" i="7"/>
  <c r="I37" i="7" s="1"/>
  <c r="E33" i="7"/>
  <c r="E37" i="7" s="1"/>
  <c r="L33" i="7"/>
  <c r="L37" i="7" s="1"/>
  <c r="H33" i="7"/>
  <c r="D33" i="7"/>
  <c r="D37" i="7" s="1"/>
  <c r="K33" i="7"/>
  <c r="G33" i="7"/>
  <c r="G37" i="7" s="1"/>
  <c r="J51" i="7"/>
  <c r="F51" i="7"/>
  <c r="H51" i="7"/>
  <c r="G51" i="7"/>
  <c r="J27" i="7"/>
  <c r="I27" i="7"/>
  <c r="I29" i="7" s="1"/>
  <c r="G27" i="7"/>
  <c r="G29" i="7" s="1"/>
  <c r="F27" i="7"/>
  <c r="E27" i="7"/>
  <c r="E29" i="7" s="1"/>
  <c r="D27" i="7"/>
  <c r="D29" i="7" s="1"/>
  <c r="C27" i="7"/>
  <c r="C29" i="7" s="1"/>
  <c r="C26" i="7"/>
  <c r="J20" i="7"/>
  <c r="I20" i="7"/>
  <c r="I22" i="7" s="1"/>
  <c r="G20" i="7"/>
  <c r="G22" i="7" s="1"/>
  <c r="F20" i="7"/>
  <c r="E20" i="7"/>
  <c r="E22" i="7" s="1"/>
  <c r="D20" i="7"/>
  <c r="D22" i="7" s="1"/>
  <c r="C20" i="7"/>
  <c r="C22" i="7" s="1"/>
  <c r="H37" i="7" l="1"/>
  <c r="H44" i="7"/>
  <c r="K37" i="7"/>
  <c r="H27" i="7"/>
  <c r="H29" i="7" s="1"/>
  <c r="F29" i="7"/>
  <c r="K27" i="7"/>
  <c r="K29" i="7" s="1"/>
  <c r="J29" i="7"/>
  <c r="K51" i="7"/>
  <c r="K20" i="7"/>
  <c r="K22" i="7" s="1"/>
  <c r="J22" i="7"/>
  <c r="H20" i="7"/>
  <c r="H22" i="7" s="1"/>
  <c r="F22" i="7"/>
  <c r="E51" i="7"/>
  <c r="J19" i="7"/>
  <c r="J23" i="7" s="1"/>
  <c r="J26" i="7"/>
  <c r="J30" i="7" s="1"/>
  <c r="F26" i="7"/>
  <c r="F30" i="7" s="1"/>
  <c r="I19" i="7"/>
  <c r="I23" i="7" s="1"/>
  <c r="I26" i="7"/>
  <c r="I30" i="7" s="1"/>
  <c r="E26" i="7"/>
  <c r="E30" i="7" s="1"/>
  <c r="L51" i="7"/>
  <c r="D19" i="7"/>
  <c r="D23" i="7" s="1"/>
  <c r="H26" i="7"/>
  <c r="K26" i="7"/>
  <c r="G26" i="7"/>
  <c r="G30" i="7" s="1"/>
  <c r="I51" i="7"/>
  <c r="D51" i="7"/>
  <c r="C30" i="7"/>
  <c r="J13" i="7"/>
  <c r="I13" i="7"/>
  <c r="I15" i="7" s="1"/>
  <c r="H13" i="7"/>
  <c r="H15" i="7" s="1"/>
  <c r="G13" i="7"/>
  <c r="G15" i="7" s="1"/>
  <c r="F13" i="7"/>
  <c r="F15" i="7" s="1"/>
  <c r="E13" i="7"/>
  <c r="E15" i="7" s="1"/>
  <c r="K30" i="7" l="1"/>
  <c r="H30" i="7"/>
  <c r="K13" i="7"/>
  <c r="K15" i="7" s="1"/>
  <c r="J15" i="7"/>
  <c r="C19" i="7"/>
  <c r="C23" i="7" s="1"/>
  <c r="D13" i="7"/>
  <c r="D15" i="7" s="1"/>
  <c r="D12" i="7"/>
  <c r="C13" i="7"/>
  <c r="C15" i="7" s="1"/>
  <c r="C12" i="7"/>
  <c r="C1178" i="7" l="1"/>
  <c r="C1182" i="7" s="1"/>
  <c r="C1171" i="7"/>
  <c r="C1175" i="7" s="1"/>
  <c r="E1178" i="7" l="1"/>
  <c r="E1182" i="7" s="1"/>
  <c r="F1178" i="7"/>
  <c r="F1182" i="7" s="1"/>
  <c r="J1178" i="7"/>
  <c r="J1182" i="7" s="1"/>
  <c r="H1178" i="7"/>
  <c r="H1182" i="7" s="1"/>
  <c r="D1430" i="7" l="1"/>
  <c r="D1434" i="7" s="1"/>
  <c r="E1430" i="7"/>
  <c r="E1434" i="7" s="1"/>
  <c r="K1430" i="7"/>
  <c r="K1434" i="7" s="1"/>
  <c r="G1164" i="7"/>
  <c r="G1168" i="7" s="1"/>
  <c r="H1164" i="7"/>
  <c r="H1168" i="7" s="1"/>
  <c r="E1164" i="7"/>
  <c r="E1168" i="7" s="1"/>
  <c r="J1164" i="7"/>
  <c r="J1168" i="7" s="1"/>
  <c r="F1164" i="7"/>
  <c r="F1168" i="7" s="1"/>
  <c r="K1164" i="7"/>
  <c r="K1168" i="7" s="1"/>
  <c r="D891" i="7"/>
  <c r="D895" i="7" s="1"/>
  <c r="D820" i="7"/>
  <c r="D824" i="7" s="1"/>
  <c r="E808" i="7"/>
  <c r="E809" i="7" s="1"/>
  <c r="D808" i="7"/>
  <c r="D810" i="7" l="1"/>
  <c r="D809" i="7"/>
  <c r="C1430" i="7"/>
  <c r="C1434" i="7" s="1"/>
  <c r="D1279" i="7"/>
  <c r="D1283" i="7" s="1"/>
  <c r="D1164" i="7"/>
  <c r="D1168" i="7" s="1"/>
  <c r="D1042" i="7"/>
  <c r="D1046" i="7" s="1"/>
  <c r="J999" i="7"/>
  <c r="J1003" i="7" s="1"/>
  <c r="G999" i="7"/>
  <c r="G1003" i="7" s="1"/>
  <c r="I999" i="7"/>
  <c r="I1003" i="7" s="1"/>
  <c r="D949" i="7"/>
  <c r="D953" i="7" s="1"/>
  <c r="D856" i="7"/>
  <c r="D860" i="7" s="1"/>
  <c r="D842" i="7"/>
  <c r="D846" i="7" s="1"/>
  <c r="I835" i="7"/>
  <c r="I839" i="7" s="1"/>
  <c r="J835" i="7"/>
  <c r="J839" i="7" s="1"/>
  <c r="D828" i="7"/>
  <c r="D832" i="7" s="1"/>
  <c r="D813" i="7"/>
  <c r="D817" i="7" s="1"/>
  <c r="E806" i="7"/>
  <c r="E810" i="7" s="1"/>
  <c r="I806" i="7"/>
  <c r="I810" i="7" s="1"/>
  <c r="J806" i="7"/>
  <c r="J810" i="7" s="1"/>
  <c r="H806" i="7"/>
  <c r="H810" i="7" s="1"/>
  <c r="F806" i="7"/>
  <c r="F810" i="7" s="1"/>
  <c r="G806" i="7"/>
  <c r="G810" i="7" s="1"/>
  <c r="E783" i="7"/>
  <c r="E787" i="7" s="1"/>
  <c r="I783" i="7"/>
  <c r="I787" i="7" s="1"/>
  <c r="H783" i="7"/>
  <c r="H787" i="7" s="1"/>
  <c r="J783" i="7"/>
  <c r="J787" i="7" s="1"/>
  <c r="F783" i="7"/>
  <c r="F787" i="7" s="1"/>
  <c r="E791" i="7"/>
  <c r="F791" i="7"/>
  <c r="G791" i="7"/>
  <c r="H791" i="7"/>
  <c r="I791" i="7"/>
  <c r="J791" i="7"/>
  <c r="D626" i="7" l="1"/>
  <c r="D630" i="7" s="1"/>
  <c r="D562" i="7"/>
  <c r="D566" i="7" s="1"/>
  <c r="D541" i="7"/>
  <c r="D545" i="7" s="1"/>
  <c r="D548" i="7"/>
  <c r="D552" i="7" s="1"/>
  <c r="D435" i="7"/>
  <c r="D439" i="7" s="1"/>
  <c r="D428" i="7"/>
  <c r="D432" i="7" s="1"/>
  <c r="D371" i="7"/>
  <c r="D375" i="7" s="1"/>
  <c r="D364" i="7"/>
  <c r="D368" i="7" s="1"/>
  <c r="D272" i="7"/>
  <c r="D276" i="7" s="1"/>
  <c r="I187" i="7"/>
  <c r="I191" i="7" s="1"/>
  <c r="J187" i="7"/>
  <c r="J191" i="7" s="1"/>
  <c r="G187" i="7"/>
  <c r="G191" i="7" s="1"/>
  <c r="H187" i="7"/>
  <c r="H191" i="7" s="1"/>
  <c r="D180" i="7"/>
  <c r="D184" i="7" s="1"/>
  <c r="J180" i="7"/>
  <c r="J184" i="7" s="1"/>
  <c r="D152" i="7"/>
  <c r="D173" i="7" l="1"/>
  <c r="D177" i="7" s="1"/>
  <c r="D187" i="7"/>
  <c r="D191" i="7" s="1"/>
  <c r="F187" i="7"/>
  <c r="F191" i="7" s="1"/>
  <c r="D166" i="7"/>
  <c r="D170" i="7" s="1"/>
  <c r="D131" i="7" l="1"/>
  <c r="D135" i="7" s="1"/>
  <c r="D124" i="7"/>
  <c r="D128" i="7" s="1"/>
  <c r="D117" i="7"/>
  <c r="D121" i="7" s="1"/>
  <c r="C963" i="7" l="1"/>
  <c r="C967" i="7" s="1"/>
  <c r="C605" i="7"/>
  <c r="C609" i="7" s="1"/>
  <c r="G343" i="7"/>
  <c r="G347" i="7" s="1"/>
  <c r="J343" i="7"/>
  <c r="J347" i="7" s="1"/>
  <c r="F343" i="7"/>
  <c r="F347" i="7" s="1"/>
  <c r="I343" i="7"/>
  <c r="I347" i="7" s="1"/>
  <c r="E343" i="7"/>
  <c r="E347" i="7" s="1"/>
  <c r="E19" i="7"/>
  <c r="E23" i="7" s="1"/>
  <c r="H343" i="7"/>
  <c r="H347" i="7" s="1"/>
  <c r="D26" i="7"/>
  <c r="D30" i="7" s="1"/>
  <c r="G230" i="7"/>
  <c r="G234" i="7" s="1"/>
  <c r="J230" i="7"/>
  <c r="J234" i="7" s="1"/>
  <c r="G209" i="7"/>
  <c r="G213" i="7" s="1"/>
  <c r="G82" i="7"/>
  <c r="G86" i="7" s="1"/>
  <c r="F82" i="7"/>
  <c r="F86" i="7" s="1"/>
  <c r="I82" i="7"/>
  <c r="I86" i="7" s="1"/>
  <c r="E82" i="7"/>
  <c r="E86" i="7" s="1"/>
  <c r="H82" i="7"/>
  <c r="H86" i="7" s="1"/>
  <c r="K1352" i="7"/>
  <c r="J1352" i="7"/>
  <c r="I1352" i="7"/>
  <c r="H1352" i="7"/>
  <c r="G1352" i="7"/>
  <c r="F1352" i="7"/>
  <c r="E1352" i="7"/>
  <c r="D1352" i="7"/>
  <c r="C1352" i="7"/>
  <c r="K1251" i="7"/>
  <c r="J1251" i="7"/>
  <c r="I1251" i="7"/>
  <c r="H1251" i="7"/>
  <c r="H1252" i="7" s="1"/>
  <c r="G1251" i="7"/>
  <c r="F1251" i="7"/>
  <c r="E1251" i="7"/>
  <c r="D1251" i="7"/>
  <c r="C1251" i="7"/>
  <c r="I1221" i="7"/>
  <c r="I1225" i="7" s="1"/>
  <c r="H1006" i="7"/>
  <c r="H1010" i="7" s="1"/>
  <c r="G1006" i="7"/>
  <c r="G1010" i="7" s="1"/>
  <c r="F1006" i="7"/>
  <c r="F1010" i="7" s="1"/>
  <c r="E1006" i="7"/>
  <c r="E1010" i="7" s="1"/>
  <c r="D1006" i="7"/>
  <c r="D1010" i="7" s="1"/>
  <c r="I891" i="7"/>
  <c r="I895" i="7" s="1"/>
  <c r="I856" i="7"/>
  <c r="I860" i="7" s="1"/>
  <c r="G856" i="7"/>
  <c r="G860" i="7" s="1"/>
  <c r="E856" i="7"/>
  <c r="E860" i="7" s="1"/>
  <c r="I820" i="7"/>
  <c r="I824" i="7" s="1"/>
  <c r="J795" i="7"/>
  <c r="I795" i="7"/>
  <c r="H795" i="7"/>
  <c r="G795" i="7"/>
  <c r="F795" i="7"/>
  <c r="E795" i="7"/>
  <c r="D795" i="7"/>
  <c r="J684" i="7"/>
  <c r="J688" i="7" s="1"/>
  <c r="F684" i="7"/>
  <c r="F688" i="7" s="1"/>
  <c r="J491" i="7"/>
  <c r="J495" i="7" s="1"/>
  <c r="I491" i="7"/>
  <c r="I495" i="7" s="1"/>
  <c r="H491" i="7"/>
  <c r="H495" i="7" s="1"/>
  <c r="C491" i="7"/>
  <c r="C495" i="7" s="1"/>
  <c r="K387" i="7"/>
  <c r="J387" i="7"/>
  <c r="J388" i="7" s="1"/>
  <c r="I387" i="7"/>
  <c r="H387" i="7"/>
  <c r="G387" i="7"/>
  <c r="F387" i="7"/>
  <c r="E387" i="7"/>
  <c r="C387" i="7"/>
  <c r="J357" i="7"/>
  <c r="J361" i="7" s="1"/>
  <c r="I357" i="7"/>
  <c r="I361" i="7" s="1"/>
  <c r="H357" i="7"/>
  <c r="H361" i="7" s="1"/>
  <c r="G357" i="7"/>
  <c r="G361" i="7" s="1"/>
  <c r="F357" i="7"/>
  <c r="F361" i="7" s="1"/>
  <c r="E357" i="7"/>
  <c r="E361" i="7" s="1"/>
  <c r="J258" i="7"/>
  <c r="J262" i="7" s="1"/>
  <c r="H258" i="7"/>
  <c r="H262" i="7" s="1"/>
  <c r="G258" i="7"/>
  <c r="G262" i="7" s="1"/>
  <c r="F258" i="7"/>
  <c r="F262" i="7" s="1"/>
  <c r="E258" i="7"/>
  <c r="E262" i="7" s="1"/>
  <c r="K246" i="7"/>
  <c r="K248" i="7" s="1"/>
  <c r="J246" i="7"/>
  <c r="J247" i="7" s="1"/>
  <c r="I246" i="7"/>
  <c r="I248" i="7" s="1"/>
  <c r="H246" i="7"/>
  <c r="H247" i="7" s="1"/>
  <c r="G246" i="7"/>
  <c r="G247" i="7" s="1"/>
  <c r="F246" i="7"/>
  <c r="F247" i="7" s="1"/>
  <c r="E246" i="7"/>
  <c r="E247" i="7" s="1"/>
  <c r="D246" i="7"/>
  <c r="D248" i="7" s="1"/>
  <c r="I180" i="7"/>
  <c r="I184" i="7" s="1"/>
  <c r="F180" i="7"/>
  <c r="F184" i="7" s="1"/>
  <c r="E180" i="7"/>
  <c r="E184" i="7" s="1"/>
  <c r="D156" i="7"/>
  <c r="K152" i="7"/>
  <c r="J152" i="7"/>
  <c r="I152" i="7"/>
  <c r="H152" i="7"/>
  <c r="G152" i="7"/>
  <c r="F152" i="7"/>
  <c r="E152" i="7"/>
  <c r="D16" i="7"/>
  <c r="C16" i="7"/>
  <c r="K12" i="7"/>
  <c r="J12" i="7"/>
  <c r="I12" i="7"/>
  <c r="H12" i="7"/>
  <c r="G12" i="7"/>
  <c r="F12" i="7"/>
  <c r="E12" i="7"/>
  <c r="C1253" i="7" l="1"/>
  <c r="C1252" i="7"/>
  <c r="G1253" i="7"/>
  <c r="G1252" i="7"/>
  <c r="K1253" i="7"/>
  <c r="K1252" i="7"/>
  <c r="F1354" i="7"/>
  <c r="F1353" i="7"/>
  <c r="J1354" i="7"/>
  <c r="J1353" i="7"/>
  <c r="D1253" i="7"/>
  <c r="D1252" i="7"/>
  <c r="C1354" i="7"/>
  <c r="C1353" i="7"/>
  <c r="G1354" i="7"/>
  <c r="G1353" i="7"/>
  <c r="K1354" i="7"/>
  <c r="K1353" i="7"/>
  <c r="E1253" i="7"/>
  <c r="E1252" i="7"/>
  <c r="I1253" i="7"/>
  <c r="I1252" i="7"/>
  <c r="D1354" i="7"/>
  <c r="D1353" i="7"/>
  <c r="H1354" i="7"/>
  <c r="H1353" i="7"/>
  <c r="F1253" i="7"/>
  <c r="F1252" i="7"/>
  <c r="J1253" i="7"/>
  <c r="J1252" i="7"/>
  <c r="E1354" i="7"/>
  <c r="E1353" i="7"/>
  <c r="I1354" i="7"/>
  <c r="I1353" i="7"/>
  <c r="K247" i="7"/>
  <c r="E389" i="7"/>
  <c r="E388" i="7"/>
  <c r="I389" i="7"/>
  <c r="I388" i="7"/>
  <c r="D247" i="7"/>
  <c r="F389" i="7"/>
  <c r="F388" i="7"/>
  <c r="I247" i="7"/>
  <c r="G389" i="7"/>
  <c r="G388" i="7"/>
  <c r="K389" i="7"/>
  <c r="K388" i="7"/>
  <c r="C389" i="7"/>
  <c r="C388" i="7"/>
  <c r="H389" i="7"/>
  <c r="H388" i="7"/>
  <c r="J691" i="7"/>
  <c r="J695" i="7" s="1"/>
  <c r="F691" i="7"/>
  <c r="F695" i="7" s="1"/>
  <c r="I691" i="7"/>
  <c r="I695" i="7" s="1"/>
  <c r="D1415" i="7"/>
  <c r="D1419" i="7" s="1"/>
  <c r="J1415" i="7"/>
  <c r="J1419" i="7" s="1"/>
  <c r="J1408" i="7"/>
  <c r="J1412" i="7" s="1"/>
  <c r="I1408" i="7"/>
  <c r="I1412" i="7" s="1"/>
  <c r="H1387" i="7"/>
  <c r="H1391" i="7" s="1"/>
  <c r="H1322" i="7"/>
  <c r="H1326" i="7" s="1"/>
  <c r="F1221" i="7"/>
  <c r="F1225" i="7" s="1"/>
  <c r="H1221" i="7"/>
  <c r="H1225" i="7" s="1"/>
  <c r="G1221" i="7"/>
  <c r="G1225" i="7" s="1"/>
  <c r="C1256" i="7"/>
  <c r="C1260" i="7" s="1"/>
  <c r="H1242" i="7"/>
  <c r="H1246" i="7" s="1"/>
  <c r="C1279" i="7"/>
  <c r="C1283" i="7" s="1"/>
  <c r="E1279" i="7"/>
  <c r="E1283" i="7" s="1"/>
  <c r="G1279" i="7"/>
  <c r="G1283" i="7" s="1"/>
  <c r="I1279" i="7"/>
  <c r="I1283" i="7" s="1"/>
  <c r="D1256" i="7"/>
  <c r="D1260" i="7" s="1"/>
  <c r="G1256" i="7"/>
  <c r="G1260" i="7" s="1"/>
  <c r="J1256" i="7"/>
  <c r="J1260" i="7" s="1"/>
  <c r="F1235" i="7"/>
  <c r="F1239" i="7" s="1"/>
  <c r="H1235" i="7"/>
  <c r="H1239" i="7" s="1"/>
  <c r="D1235" i="7"/>
  <c r="D1239" i="7" s="1"/>
  <c r="E1235" i="7"/>
  <c r="E1239" i="7" s="1"/>
  <c r="J1228" i="7"/>
  <c r="J1232" i="7" s="1"/>
  <c r="I1228" i="7"/>
  <c r="I1232" i="7" s="1"/>
  <c r="E1228" i="7"/>
  <c r="E1232" i="7" s="1"/>
  <c r="F1228" i="7"/>
  <c r="F1232" i="7" s="1"/>
  <c r="H1214" i="7"/>
  <c r="H1218" i="7" s="1"/>
  <c r="G1214" i="7"/>
  <c r="G1218" i="7" s="1"/>
  <c r="H1171" i="7"/>
  <c r="H1175" i="7" s="1"/>
  <c r="J1171" i="7"/>
  <c r="J1175" i="7" s="1"/>
  <c r="E1171" i="7"/>
  <c r="E1175" i="7" s="1"/>
  <c r="F1171" i="7"/>
  <c r="F1175" i="7" s="1"/>
  <c r="H1091" i="7"/>
  <c r="H1095" i="7" s="1"/>
  <c r="G978" i="7"/>
  <c r="G982" i="7" s="1"/>
  <c r="J978" i="7"/>
  <c r="J982" i="7" s="1"/>
  <c r="K978" i="7"/>
  <c r="K982" i="7" s="1"/>
  <c r="F1091" i="7"/>
  <c r="F1095" i="7" s="1"/>
  <c r="E1049" i="7"/>
  <c r="E1053" i="7" s="1"/>
  <c r="F1049" i="7"/>
  <c r="F1053" i="7" s="1"/>
  <c r="J1049" i="7"/>
  <c r="J1053" i="7" s="1"/>
  <c r="K1049" i="7"/>
  <c r="K1053" i="7" s="1"/>
  <c r="C1042" i="7"/>
  <c r="C1046" i="7" s="1"/>
  <c r="H1042" i="7"/>
  <c r="H1046" i="7" s="1"/>
  <c r="E1042" i="7"/>
  <c r="E1046" i="7" s="1"/>
  <c r="I1042" i="7"/>
  <c r="I1046" i="7" s="1"/>
  <c r="F1042" i="7"/>
  <c r="F1046" i="7" s="1"/>
  <c r="J1042" i="7"/>
  <c r="J1046" i="7" s="1"/>
  <c r="G1042" i="7"/>
  <c r="G1046" i="7" s="1"/>
  <c r="F1034" i="7"/>
  <c r="F1038" i="7" s="1"/>
  <c r="H1034" i="7"/>
  <c r="H1038" i="7" s="1"/>
  <c r="I1034" i="7"/>
  <c r="I1038" i="7" s="1"/>
  <c r="E1034" i="7"/>
  <c r="E1038" i="7" s="1"/>
  <c r="J1034" i="7"/>
  <c r="J1038" i="7" s="1"/>
  <c r="G1027" i="7"/>
  <c r="G1031" i="7" s="1"/>
  <c r="H1027" i="7"/>
  <c r="H1031" i="7" s="1"/>
  <c r="G1020" i="7"/>
  <c r="G1024" i="7" s="1"/>
  <c r="J1013" i="7"/>
  <c r="J1017" i="7" s="1"/>
  <c r="D1013" i="7"/>
  <c r="D1017" i="7" s="1"/>
  <c r="C1006" i="7"/>
  <c r="C1010" i="7" s="1"/>
  <c r="I992" i="7"/>
  <c r="I996" i="7" s="1"/>
  <c r="H992" i="7"/>
  <c r="H996" i="7" s="1"/>
  <c r="G985" i="7"/>
  <c r="G989" i="7" s="1"/>
  <c r="H985" i="7"/>
  <c r="H989" i="7" s="1"/>
  <c r="F647" i="7"/>
  <c r="F651" i="7" s="1"/>
  <c r="J820" i="7"/>
  <c r="J824" i="7" s="1"/>
  <c r="F891" i="7"/>
  <c r="F895" i="7" s="1"/>
  <c r="J898" i="7"/>
  <c r="J902" i="7" s="1"/>
  <c r="K619" i="7"/>
  <c r="K623" i="7" s="1"/>
  <c r="E820" i="7"/>
  <c r="E824" i="7" s="1"/>
  <c r="G898" i="7"/>
  <c r="G902" i="7" s="1"/>
  <c r="I935" i="7"/>
  <c r="I939" i="7" s="1"/>
  <c r="G870" i="7"/>
  <c r="G874" i="7" s="1"/>
  <c r="E891" i="7"/>
  <c r="E895" i="7" s="1"/>
  <c r="E898" i="7"/>
  <c r="E902" i="7" s="1"/>
  <c r="I898" i="7"/>
  <c r="I902" i="7" s="1"/>
  <c r="H619" i="7"/>
  <c r="H623" i="7" s="1"/>
  <c r="C820" i="7"/>
  <c r="C824" i="7" s="1"/>
  <c r="F898" i="7"/>
  <c r="F902" i="7" s="1"/>
  <c r="G698" i="7"/>
  <c r="G702" i="7" s="1"/>
  <c r="F754" i="7"/>
  <c r="F758" i="7" s="1"/>
  <c r="F820" i="7"/>
  <c r="F824" i="7" s="1"/>
  <c r="C891" i="7"/>
  <c r="C895" i="7" s="1"/>
  <c r="J891" i="7"/>
  <c r="J895" i="7" s="1"/>
  <c r="H898" i="7"/>
  <c r="H902" i="7" s="1"/>
  <c r="H963" i="7"/>
  <c r="H967" i="7" s="1"/>
  <c r="D963" i="7"/>
  <c r="D967" i="7" s="1"/>
  <c r="G963" i="7"/>
  <c r="G967" i="7" s="1"/>
  <c r="F956" i="7"/>
  <c r="F960" i="7" s="1"/>
  <c r="G956" i="7"/>
  <c r="G960" i="7" s="1"/>
  <c r="E949" i="7"/>
  <c r="E953" i="7" s="1"/>
  <c r="G949" i="7"/>
  <c r="G953" i="7" s="1"/>
  <c r="G942" i="7"/>
  <c r="G946" i="7" s="1"/>
  <c r="I942" i="7"/>
  <c r="I946" i="7" s="1"/>
  <c r="J942" i="7"/>
  <c r="J946" i="7" s="1"/>
  <c r="G906" i="7"/>
  <c r="G910" i="7" s="1"/>
  <c r="H906" i="7"/>
  <c r="H910" i="7" s="1"/>
  <c r="K863" i="7"/>
  <c r="K867" i="7" s="1"/>
  <c r="C849" i="7"/>
  <c r="C853" i="7" s="1"/>
  <c r="I849" i="7"/>
  <c r="I853" i="7" s="1"/>
  <c r="F849" i="7"/>
  <c r="F853" i="7" s="1"/>
  <c r="H849" i="7"/>
  <c r="H853" i="7" s="1"/>
  <c r="E849" i="7"/>
  <c r="E853" i="7" s="1"/>
  <c r="G849" i="7"/>
  <c r="G853" i="7" s="1"/>
  <c r="G842" i="7"/>
  <c r="G846" i="7" s="1"/>
  <c r="E828" i="7"/>
  <c r="E832" i="7" s="1"/>
  <c r="F828" i="7"/>
  <c r="F832" i="7" s="1"/>
  <c r="C828" i="7"/>
  <c r="C832" i="7" s="1"/>
  <c r="C813" i="7"/>
  <c r="C817" i="7" s="1"/>
  <c r="E813" i="7"/>
  <c r="E817" i="7" s="1"/>
  <c r="F813" i="7"/>
  <c r="F817" i="7" s="1"/>
  <c r="H813" i="7"/>
  <c r="H817" i="7" s="1"/>
  <c r="K798" i="7"/>
  <c r="K802" i="7" s="1"/>
  <c r="F798" i="7"/>
  <c r="F802" i="7" s="1"/>
  <c r="I798" i="7"/>
  <c r="I802" i="7" s="1"/>
  <c r="E768" i="7"/>
  <c r="E772" i="7" s="1"/>
  <c r="G768" i="7"/>
  <c r="G772" i="7" s="1"/>
  <c r="H761" i="7"/>
  <c r="H765" i="7" s="1"/>
  <c r="F747" i="7"/>
  <c r="F751" i="7" s="1"/>
  <c r="G747" i="7"/>
  <c r="G751" i="7" s="1"/>
  <c r="J740" i="7"/>
  <c r="J744" i="7" s="1"/>
  <c r="F726" i="7"/>
  <c r="F730" i="7" s="1"/>
  <c r="K726" i="7"/>
  <c r="K730" i="7" s="1"/>
  <c r="E726" i="7"/>
  <c r="E730" i="7" s="1"/>
  <c r="H719" i="7"/>
  <c r="H723" i="7" s="1"/>
  <c r="E719" i="7"/>
  <c r="E723" i="7" s="1"/>
  <c r="I719" i="7"/>
  <c r="I723" i="7" s="1"/>
  <c r="F719" i="7"/>
  <c r="F723" i="7" s="1"/>
  <c r="J719" i="7"/>
  <c r="J723" i="7" s="1"/>
  <c r="G719" i="7"/>
  <c r="G723" i="7" s="1"/>
  <c r="E654" i="7"/>
  <c r="E658" i="7" s="1"/>
  <c r="J654" i="7"/>
  <c r="J658" i="7" s="1"/>
  <c r="F654" i="7"/>
  <c r="F658" i="7" s="1"/>
  <c r="H654" i="7"/>
  <c r="H658" i="7" s="1"/>
  <c r="I654" i="7"/>
  <c r="I658" i="7" s="1"/>
  <c r="H640" i="7"/>
  <c r="H644" i="7" s="1"/>
  <c r="K640" i="7"/>
  <c r="K644" i="7" s="1"/>
  <c r="F640" i="7"/>
  <c r="F644" i="7" s="1"/>
  <c r="C640" i="7"/>
  <c r="C644" i="7" s="1"/>
  <c r="D640" i="7"/>
  <c r="D644" i="7" s="1"/>
  <c r="E640" i="7"/>
  <c r="E644" i="7" s="1"/>
  <c r="K633" i="7"/>
  <c r="K637" i="7" s="1"/>
  <c r="G633" i="7"/>
  <c r="G637" i="7" s="1"/>
  <c r="H633" i="7"/>
  <c r="H637" i="7" s="1"/>
  <c r="F633" i="7"/>
  <c r="F637" i="7" s="1"/>
  <c r="E633" i="7"/>
  <c r="E637" i="7" s="1"/>
  <c r="I633" i="7"/>
  <c r="I637" i="7" s="1"/>
  <c r="E626" i="7"/>
  <c r="E630" i="7" s="1"/>
  <c r="F626" i="7"/>
  <c r="F630" i="7" s="1"/>
  <c r="H626" i="7"/>
  <c r="H630" i="7" s="1"/>
  <c r="I626" i="7"/>
  <c r="I630" i="7" s="1"/>
  <c r="K626" i="7"/>
  <c r="K630" i="7" s="1"/>
  <c r="G626" i="7"/>
  <c r="G630" i="7" s="1"/>
  <c r="I612" i="7"/>
  <c r="I616" i="7" s="1"/>
  <c r="I605" i="7"/>
  <c r="I609" i="7" s="1"/>
  <c r="J605" i="7"/>
  <c r="J609" i="7" s="1"/>
  <c r="E590" i="7"/>
  <c r="E594" i="7" s="1"/>
  <c r="H590" i="7"/>
  <c r="H594" i="7" s="1"/>
  <c r="J583" i="7"/>
  <c r="J587" i="7" s="1"/>
  <c r="H583" i="7"/>
  <c r="H587" i="7" s="1"/>
  <c r="K569" i="7"/>
  <c r="K573" i="7" s="1"/>
  <c r="F569" i="7"/>
  <c r="F573" i="7" s="1"/>
  <c r="I569" i="7"/>
  <c r="I573" i="7" s="1"/>
  <c r="J569" i="7"/>
  <c r="J573" i="7" s="1"/>
  <c r="F562" i="7"/>
  <c r="F566" i="7" s="1"/>
  <c r="K562" i="7"/>
  <c r="K566" i="7" s="1"/>
  <c r="G562" i="7"/>
  <c r="G566" i="7" s="1"/>
  <c r="C562" i="7"/>
  <c r="C566" i="7" s="1"/>
  <c r="H562" i="7"/>
  <c r="H566" i="7" s="1"/>
  <c r="E562" i="7"/>
  <c r="E566" i="7" s="1"/>
  <c r="I562" i="7"/>
  <c r="I566" i="7" s="1"/>
  <c r="C555" i="7"/>
  <c r="C559" i="7" s="1"/>
  <c r="I555" i="7"/>
  <c r="I559" i="7" s="1"/>
  <c r="E555" i="7"/>
  <c r="E559" i="7" s="1"/>
  <c r="K555" i="7"/>
  <c r="K559" i="7" s="1"/>
  <c r="F555" i="7"/>
  <c r="F559" i="7" s="1"/>
  <c r="H555" i="7"/>
  <c r="H559" i="7" s="1"/>
  <c r="I541" i="7"/>
  <c r="I545" i="7" s="1"/>
  <c r="E541" i="7"/>
  <c r="E545" i="7" s="1"/>
  <c r="K541" i="7"/>
  <c r="K545" i="7" s="1"/>
  <c r="F541" i="7"/>
  <c r="F545" i="7" s="1"/>
  <c r="H541" i="7"/>
  <c r="H545" i="7" s="1"/>
  <c r="G548" i="7"/>
  <c r="G552" i="7" s="1"/>
  <c r="C548" i="7"/>
  <c r="C552" i="7" s="1"/>
  <c r="I548" i="7"/>
  <c r="I552" i="7" s="1"/>
  <c r="F548" i="7"/>
  <c r="F552" i="7" s="1"/>
  <c r="E548" i="7"/>
  <c r="E552" i="7" s="1"/>
  <c r="J548" i="7"/>
  <c r="J552" i="7" s="1"/>
  <c r="G520" i="7"/>
  <c r="G524" i="7" s="1"/>
  <c r="F527" i="7"/>
  <c r="F531" i="7" s="1"/>
  <c r="H527" i="7"/>
  <c r="H531" i="7" s="1"/>
  <c r="G527" i="7"/>
  <c r="G531" i="7" s="1"/>
  <c r="H534" i="7"/>
  <c r="H538" i="7" s="1"/>
  <c r="I534" i="7"/>
  <c r="I538" i="7" s="1"/>
  <c r="I513" i="7"/>
  <c r="I517" i="7" s="1"/>
  <c r="J513" i="7"/>
  <c r="J517" i="7" s="1"/>
  <c r="K513" i="7"/>
  <c r="K517" i="7" s="1"/>
  <c r="C499" i="7"/>
  <c r="C503" i="7" s="1"/>
  <c r="G499" i="7"/>
  <c r="G503" i="7" s="1"/>
  <c r="F499" i="7"/>
  <c r="F503" i="7" s="1"/>
  <c r="C470" i="7"/>
  <c r="C474" i="7" s="1"/>
  <c r="E470" i="7"/>
  <c r="E474" i="7" s="1"/>
  <c r="F470" i="7"/>
  <c r="F474" i="7" s="1"/>
  <c r="K470" i="7"/>
  <c r="K474" i="7" s="1"/>
  <c r="H470" i="7"/>
  <c r="H474" i="7" s="1"/>
  <c r="I470" i="7"/>
  <c r="I474" i="7" s="1"/>
  <c r="G470" i="7"/>
  <c r="G474" i="7" s="1"/>
  <c r="E484" i="7"/>
  <c r="E488" i="7" s="1"/>
  <c r="J484" i="7"/>
  <c r="J488" i="7" s="1"/>
  <c r="F484" i="7"/>
  <c r="F488" i="7" s="1"/>
  <c r="H484" i="7"/>
  <c r="H488" i="7" s="1"/>
  <c r="G484" i="7"/>
  <c r="G488" i="7" s="1"/>
  <c r="J477" i="7"/>
  <c r="J481" i="7" s="1"/>
  <c r="F477" i="7"/>
  <c r="F481" i="7" s="1"/>
  <c r="H463" i="7"/>
  <c r="H467" i="7" s="1"/>
  <c r="D463" i="7"/>
  <c r="D467" i="7" s="1"/>
  <c r="I463" i="7"/>
  <c r="I467" i="7" s="1"/>
  <c r="F463" i="7"/>
  <c r="F467" i="7" s="1"/>
  <c r="E463" i="7"/>
  <c r="E467" i="7" s="1"/>
  <c r="J463" i="7"/>
  <c r="J467" i="7" s="1"/>
  <c r="J449" i="7"/>
  <c r="J453" i="7" s="1"/>
  <c r="H449" i="7"/>
  <c r="H453" i="7" s="1"/>
  <c r="I449" i="7"/>
  <c r="I453" i="7" s="1"/>
  <c r="J442" i="7"/>
  <c r="J446" i="7" s="1"/>
  <c r="K442" i="7"/>
  <c r="K446" i="7" s="1"/>
  <c r="G442" i="7"/>
  <c r="G446" i="7" s="1"/>
  <c r="H435" i="7"/>
  <c r="H439" i="7" s="1"/>
  <c r="E435" i="7"/>
  <c r="E439" i="7" s="1"/>
  <c r="I435" i="7"/>
  <c r="I439" i="7" s="1"/>
  <c r="F435" i="7"/>
  <c r="F439" i="7" s="1"/>
  <c r="J435" i="7"/>
  <c r="J439" i="7" s="1"/>
  <c r="G435" i="7"/>
  <c r="G439" i="7" s="1"/>
  <c r="E428" i="7"/>
  <c r="E432" i="7" s="1"/>
  <c r="I428" i="7"/>
  <c r="I432" i="7" s="1"/>
  <c r="F428" i="7"/>
  <c r="F432" i="7" s="1"/>
  <c r="J428" i="7"/>
  <c r="J432" i="7" s="1"/>
  <c r="G428" i="7"/>
  <c r="G432" i="7" s="1"/>
  <c r="C428" i="7"/>
  <c r="C432" i="7" s="1"/>
  <c r="H428" i="7"/>
  <c r="H432" i="7" s="1"/>
  <c r="C378" i="7"/>
  <c r="C382" i="7" s="1"/>
  <c r="H371" i="7"/>
  <c r="H375" i="7" s="1"/>
  <c r="C371" i="7"/>
  <c r="C375" i="7" s="1"/>
  <c r="J371" i="7"/>
  <c r="J375" i="7" s="1"/>
  <c r="F371" i="7"/>
  <c r="F375" i="7" s="1"/>
  <c r="G371" i="7"/>
  <c r="G375" i="7" s="1"/>
  <c r="I420" i="7"/>
  <c r="I424" i="7" s="1"/>
  <c r="G420" i="7"/>
  <c r="G424" i="7" s="1"/>
  <c r="J420" i="7"/>
  <c r="J424" i="7" s="1"/>
  <c r="H413" i="7"/>
  <c r="H417" i="7" s="1"/>
  <c r="I413" i="7"/>
  <c r="I417" i="7" s="1"/>
  <c r="J413" i="7"/>
  <c r="J417" i="7" s="1"/>
  <c r="J406" i="7"/>
  <c r="J410" i="7" s="1"/>
  <c r="F406" i="7"/>
  <c r="F410" i="7" s="1"/>
  <c r="H406" i="7"/>
  <c r="H410" i="7" s="1"/>
  <c r="E406" i="7"/>
  <c r="E410" i="7" s="1"/>
  <c r="C406" i="7"/>
  <c r="C410" i="7" s="1"/>
  <c r="I406" i="7"/>
  <c r="I410" i="7" s="1"/>
  <c r="F392" i="7"/>
  <c r="F396" i="7" s="1"/>
  <c r="G392" i="7"/>
  <c r="G396" i="7" s="1"/>
  <c r="I392" i="7"/>
  <c r="I396" i="7" s="1"/>
  <c r="H19" i="7"/>
  <c r="H23" i="7" s="1"/>
  <c r="F19" i="7"/>
  <c r="F23" i="7" s="1"/>
  <c r="G279" i="7"/>
  <c r="G283" i="7" s="1"/>
  <c r="E293" i="7"/>
  <c r="E297" i="7" s="1"/>
  <c r="I293" i="7"/>
  <c r="I297" i="7" s="1"/>
  <c r="H350" i="7"/>
  <c r="H354" i="7" s="1"/>
  <c r="G19" i="7"/>
  <c r="G23" i="7" s="1"/>
  <c r="I279" i="7"/>
  <c r="I283" i="7" s="1"/>
  <c r="F293" i="7"/>
  <c r="F297" i="7" s="1"/>
  <c r="J293" i="7"/>
  <c r="J297" i="7" s="1"/>
  <c r="I350" i="7"/>
  <c r="I354" i="7" s="1"/>
  <c r="E279" i="7"/>
  <c r="E283" i="7" s="1"/>
  <c r="J279" i="7"/>
  <c r="J283" i="7" s="1"/>
  <c r="G293" i="7"/>
  <c r="G297" i="7" s="1"/>
  <c r="K293" i="7"/>
  <c r="K297" i="7" s="1"/>
  <c r="K19" i="7"/>
  <c r="K23" i="7" s="1"/>
  <c r="F279" i="7"/>
  <c r="F283" i="7" s="1"/>
  <c r="D293" i="7"/>
  <c r="D297" i="7" s="1"/>
  <c r="H293" i="7"/>
  <c r="H297" i="7" s="1"/>
  <c r="G350" i="7"/>
  <c r="G354" i="7" s="1"/>
  <c r="J336" i="7"/>
  <c r="J340" i="7" s="1"/>
  <c r="K336" i="7"/>
  <c r="K340" i="7" s="1"/>
  <c r="G336" i="7"/>
  <c r="G340" i="7" s="1"/>
  <c r="I336" i="7"/>
  <c r="I340" i="7" s="1"/>
  <c r="K329" i="7"/>
  <c r="K333" i="7" s="1"/>
  <c r="G329" i="7"/>
  <c r="G333" i="7" s="1"/>
  <c r="I329" i="7"/>
  <c r="I333" i="7" s="1"/>
  <c r="J329" i="7"/>
  <c r="J333" i="7" s="1"/>
  <c r="F322" i="7"/>
  <c r="F326" i="7" s="1"/>
  <c r="H322" i="7"/>
  <c r="H326" i="7" s="1"/>
  <c r="J322" i="7"/>
  <c r="J326" i="7" s="1"/>
  <c r="K322" i="7"/>
  <c r="K326" i="7" s="1"/>
  <c r="F315" i="7"/>
  <c r="F319" i="7" s="1"/>
  <c r="J315" i="7"/>
  <c r="J319" i="7" s="1"/>
  <c r="D300" i="7"/>
  <c r="D304" i="7" s="1"/>
  <c r="F300" i="7"/>
  <c r="F304" i="7" s="1"/>
  <c r="H300" i="7"/>
  <c r="H304" i="7" s="1"/>
  <c r="J300" i="7"/>
  <c r="J304" i="7" s="1"/>
  <c r="G300" i="7"/>
  <c r="G304" i="7" s="1"/>
  <c r="J286" i="7"/>
  <c r="J290" i="7" s="1"/>
  <c r="E286" i="7"/>
  <c r="E290" i="7" s="1"/>
  <c r="I286" i="7"/>
  <c r="I290" i="7" s="1"/>
  <c r="F286" i="7"/>
  <c r="F290" i="7" s="1"/>
  <c r="I272" i="7"/>
  <c r="I276" i="7" s="1"/>
  <c r="K272" i="7"/>
  <c r="K276" i="7" s="1"/>
  <c r="K265" i="7"/>
  <c r="K269" i="7" s="1"/>
  <c r="F244" i="7"/>
  <c r="F248" i="7" s="1"/>
  <c r="G244" i="7"/>
  <c r="G248" i="7" s="1"/>
  <c r="H244" i="7"/>
  <c r="H248" i="7" s="1"/>
  <c r="E244" i="7"/>
  <c r="E248" i="7" s="1"/>
  <c r="J244" i="7"/>
  <c r="J248" i="7" s="1"/>
  <c r="I237" i="7"/>
  <c r="I241" i="7" s="1"/>
  <c r="J237" i="7"/>
  <c r="J241" i="7" s="1"/>
  <c r="F237" i="7"/>
  <c r="F241" i="7" s="1"/>
  <c r="H237" i="7"/>
  <c r="H241" i="7" s="1"/>
  <c r="D195" i="7"/>
  <c r="D199" i="7" s="1"/>
  <c r="G195" i="7"/>
  <c r="G199" i="7" s="1"/>
  <c r="H180" i="7"/>
  <c r="H184" i="7" s="1"/>
  <c r="G180" i="7"/>
  <c r="G184" i="7" s="1"/>
  <c r="J166" i="7"/>
  <c r="J170" i="7" s="1"/>
  <c r="F166" i="7"/>
  <c r="F170" i="7" s="1"/>
  <c r="G166" i="7"/>
  <c r="G170" i="7" s="1"/>
  <c r="H166" i="7"/>
  <c r="H170" i="7" s="1"/>
  <c r="H159" i="7"/>
  <c r="H163" i="7" s="1"/>
  <c r="J159" i="7"/>
  <c r="J163" i="7" s="1"/>
  <c r="K159" i="7"/>
  <c r="K163" i="7" s="1"/>
  <c r="G159" i="7"/>
  <c r="G163" i="7" s="1"/>
  <c r="G138" i="7"/>
  <c r="G142" i="7" s="1"/>
  <c r="H138" i="7"/>
  <c r="H142" i="7" s="1"/>
  <c r="F138" i="7"/>
  <c r="F142" i="7" s="1"/>
  <c r="E138" i="7"/>
  <c r="E142" i="7" s="1"/>
  <c r="K131" i="7"/>
  <c r="K135" i="7" s="1"/>
  <c r="H131" i="7"/>
  <c r="H135" i="7" s="1"/>
  <c r="J131" i="7"/>
  <c r="J135" i="7" s="1"/>
  <c r="F131" i="7"/>
  <c r="F135" i="7" s="1"/>
  <c r="H117" i="7"/>
  <c r="H121" i="7" s="1"/>
  <c r="H96" i="7"/>
  <c r="H100" i="7" s="1"/>
  <c r="I96" i="7"/>
  <c r="I100" i="7" s="1"/>
  <c r="E96" i="7"/>
  <c r="E100" i="7" s="1"/>
  <c r="F96" i="7"/>
  <c r="F100" i="7" s="1"/>
  <c r="G89" i="7"/>
  <c r="G93" i="7" s="1"/>
  <c r="H89" i="7"/>
  <c r="H93" i="7" s="1"/>
  <c r="F89" i="7"/>
  <c r="F93" i="7" s="1"/>
  <c r="H75" i="7"/>
  <c r="H79" i="7" s="1"/>
  <c r="I75" i="7"/>
  <c r="I79" i="7" s="1"/>
  <c r="K68" i="7"/>
  <c r="K72" i="7" s="1"/>
  <c r="H1249" i="7"/>
  <c r="H1253" i="7" s="1"/>
  <c r="H913" i="7"/>
  <c r="H917" i="7" s="1"/>
  <c r="F928" i="7"/>
  <c r="F932" i="7" s="1"/>
  <c r="I913" i="7"/>
  <c r="I917" i="7" s="1"/>
  <c r="G928" i="7"/>
  <c r="G932" i="7" s="1"/>
  <c r="G877" i="7"/>
  <c r="G881" i="7" s="1"/>
  <c r="H928" i="7"/>
  <c r="H932" i="7" s="1"/>
  <c r="J1077" i="7"/>
  <c r="J1081" i="7" s="1"/>
  <c r="J385" i="7"/>
  <c r="J389" i="7" s="1"/>
  <c r="H877" i="7"/>
  <c r="H881" i="7" s="1"/>
  <c r="F913" i="7"/>
  <c r="F917" i="7" s="1"/>
  <c r="G1084" i="7"/>
  <c r="G1088" i="7" s="1"/>
  <c r="F156" i="7"/>
  <c r="K156" i="7"/>
  <c r="G156" i="7"/>
  <c r="H156" i="7"/>
  <c r="E156" i="7"/>
  <c r="I156" i="7"/>
  <c r="F16" i="7"/>
  <c r="K16" i="7"/>
  <c r="G16" i="7"/>
  <c r="H16" i="7"/>
  <c r="J16" i="7"/>
  <c r="E16" i="7"/>
  <c r="I16" i="7"/>
  <c r="K378" i="7" l="1"/>
  <c r="K382" i="7" s="1"/>
  <c r="H378" i="7"/>
  <c r="H382" i="7" s="1"/>
  <c r="G378" i="7"/>
  <c r="G382" i="7" s="1"/>
  <c r="F378" i="7"/>
  <c r="F382" i="7" s="1"/>
  <c r="J350" i="7"/>
  <c r="J354" i="7" s="1"/>
  <c r="F350" i="7"/>
  <c r="F354" i="7" s="1"/>
  <c r="H145" i="7" l="1"/>
  <c r="H149" i="7" s="1"/>
  <c r="G145" i="7"/>
  <c r="G149" i="7" s="1"/>
  <c r="J145" i="7"/>
  <c r="I145" i="7"/>
  <c r="F145" i="7"/>
  <c r="F149" i="7" s="1"/>
  <c r="E145" i="7"/>
  <c r="E149" i="7" s="1"/>
  <c r="C145" i="7"/>
  <c r="C149" i="7" s="1"/>
  <c r="D145" i="7" l="1"/>
  <c r="D149" i="7" s="1"/>
  <c r="K145" i="7"/>
  <c r="K149" i="7" s="1"/>
  <c r="J149" i="7"/>
  <c r="I149" i="7"/>
  <c r="F216" i="7"/>
  <c r="E216" i="7"/>
  <c r="J216" i="7"/>
  <c r="J220" i="7" s="1"/>
  <c r="H216" i="7"/>
  <c r="G216" i="7"/>
  <c r="G220" i="7" s="1"/>
  <c r="H220" i="7" l="1"/>
  <c r="F220" i="7"/>
  <c r="D216" i="7"/>
  <c r="D220" i="7" s="1"/>
  <c r="K216" i="7"/>
  <c r="K220" i="7" s="1"/>
  <c r="I216" i="7"/>
  <c r="I220" i="7" s="1"/>
  <c r="E220" i="7"/>
  <c r="C216" i="7"/>
  <c r="C220" i="7" s="1"/>
  <c r="D251" i="7"/>
  <c r="D255" i="7" s="1"/>
  <c r="I251" i="7"/>
  <c r="I255" i="7" s="1"/>
  <c r="H251" i="7"/>
  <c r="F251" i="7"/>
  <c r="F255" i="7" s="1"/>
  <c r="C251" i="7" l="1"/>
  <c r="C255" i="7" s="1"/>
  <c r="J251" i="7"/>
  <c r="J255" i="7" s="1"/>
  <c r="H255" i="7"/>
  <c r="E251" i="7"/>
  <c r="E255" i="7" s="1"/>
  <c r="F455" i="7"/>
  <c r="F456" i="7" s="1"/>
  <c r="E455" i="7"/>
  <c r="E456" i="7" s="1"/>
  <c r="C455" i="7"/>
  <c r="D455" i="7"/>
  <c r="D456" i="7" s="1"/>
  <c r="D460" i="7" s="1"/>
  <c r="H455" i="7"/>
  <c r="H456" i="7" s="1"/>
  <c r="H460" i="7" s="1"/>
  <c r="I455" i="7"/>
  <c r="I456" i="7" s="1"/>
  <c r="I460" i="7" s="1"/>
  <c r="J455" i="7"/>
  <c r="J456" i="7" l="1"/>
  <c r="J460" i="7" s="1"/>
  <c r="E460" i="7"/>
  <c r="C456" i="7"/>
  <c r="C460" i="7" s="1"/>
  <c r="F460" i="7"/>
  <c r="J505" i="7"/>
  <c r="H505" i="7"/>
  <c r="K505" i="7"/>
  <c r="K506" i="7" s="1"/>
  <c r="C505" i="7"/>
  <c r="C506" i="7" s="1"/>
  <c r="C510" i="7" s="1"/>
  <c r="F505" i="7"/>
  <c r="D505" i="7"/>
  <c r="D506" i="7" s="1"/>
  <c r="D510" i="7" s="1"/>
  <c r="E505" i="7"/>
  <c r="I505" i="7"/>
  <c r="I506" i="7" s="1"/>
  <c r="G505" i="7"/>
  <c r="E506" i="7" l="1"/>
  <c r="E510" i="7" s="1"/>
  <c r="G506" i="7"/>
  <c r="G510" i="7" s="1"/>
  <c r="H506" i="7"/>
  <c r="H510" i="7" s="1"/>
  <c r="I510" i="7"/>
  <c r="F506" i="7"/>
  <c r="F510" i="7" s="1"/>
  <c r="K510" i="7"/>
  <c r="J506" i="7"/>
  <c r="J510" i="7" s="1"/>
  <c r="I576" i="7"/>
  <c r="J576" i="7"/>
  <c r="J580" i="7" s="1"/>
  <c r="D576" i="7"/>
  <c r="D580" i="7" s="1"/>
  <c r="F576" i="7"/>
  <c r="F580" i="7" s="1"/>
  <c r="H576" i="7"/>
  <c r="G576" i="7"/>
  <c r="C575" i="7"/>
  <c r="K576" i="7"/>
  <c r="I580" i="7" l="1"/>
  <c r="K580" i="7"/>
  <c r="G580" i="7"/>
  <c r="H580" i="7"/>
  <c r="C576" i="7"/>
  <c r="C580" i="7" s="1"/>
  <c r="E576" i="7"/>
  <c r="E580" i="7" s="1"/>
  <c r="I597" i="7"/>
  <c r="I601" i="7" s="1"/>
  <c r="H597" i="7"/>
  <c r="H601" i="7" s="1"/>
  <c r="G597" i="7"/>
  <c r="G601" i="7" s="1"/>
  <c r="D597" i="7"/>
  <c r="D601" i="7" s="1"/>
  <c r="C596" i="7"/>
  <c r="J597" i="7"/>
  <c r="J601" i="7" s="1"/>
  <c r="C597" i="7" l="1"/>
  <c r="C601" i="7" s="1"/>
  <c r="E597" i="7"/>
  <c r="E601" i="7" s="1"/>
  <c r="F597" i="7"/>
  <c r="F601" i="7" s="1"/>
  <c r="F677" i="7"/>
  <c r="F681" i="7" s="1"/>
  <c r="J677" i="7"/>
  <c r="J681" i="7" s="1"/>
  <c r="D677" i="7"/>
  <c r="D681" i="7" s="1"/>
  <c r="I677" i="7"/>
  <c r="I681" i="7" s="1"/>
  <c r="H677" i="7"/>
  <c r="K677" i="7"/>
  <c r="K681" i="7" s="1"/>
  <c r="G677" i="7"/>
  <c r="H681" i="7" l="1"/>
  <c r="G681" i="7"/>
  <c r="C677" i="7"/>
  <c r="C681" i="7" s="1"/>
  <c r="E677" i="7"/>
  <c r="E681" i="7" s="1"/>
  <c r="F733" i="7"/>
  <c r="F737" i="7" s="1"/>
  <c r="D733" i="7"/>
  <c r="D737" i="7" s="1"/>
  <c r="I733" i="7"/>
  <c r="I737" i="7" s="1"/>
  <c r="J733" i="7"/>
  <c r="J737" i="7" s="1"/>
  <c r="C732" i="7"/>
  <c r="C733" i="7" s="1"/>
  <c r="C737" i="7" s="1"/>
  <c r="E733" i="7" l="1"/>
  <c r="E737" i="7" s="1"/>
  <c r="G733" i="7"/>
  <c r="G737" i="7" s="1"/>
  <c r="H733" i="7"/>
  <c r="H737" i="7" s="1"/>
  <c r="K733" i="7"/>
  <c r="K737" i="7" s="1"/>
  <c r="C884" i="7"/>
  <c r="C888" i="7" s="1"/>
  <c r="D884" i="7"/>
  <c r="D888" i="7" s="1"/>
  <c r="F884" i="7"/>
  <c r="F888" i="7" s="1"/>
  <c r="H884" i="7"/>
  <c r="G884" i="7"/>
  <c r="J884" i="7"/>
  <c r="J888" i="7" l="1"/>
  <c r="G888" i="7"/>
  <c r="H888" i="7"/>
  <c r="E884" i="7"/>
  <c r="E888" i="7" s="1"/>
  <c r="I884" i="7"/>
  <c r="I888" i="7" s="1"/>
  <c r="K884" i="7"/>
  <c r="K888" i="7" s="1"/>
  <c r="D920" i="7"/>
  <c r="D924" i="7" s="1"/>
  <c r="F920" i="7"/>
  <c r="F924" i="7" s="1"/>
  <c r="I920" i="7"/>
  <c r="I924" i="7" s="1"/>
  <c r="C919" i="7"/>
  <c r="C920" i="7" s="1"/>
  <c r="J920" i="7"/>
  <c r="H920" i="7"/>
  <c r="H924" i="7" l="1"/>
  <c r="E920" i="7"/>
  <c r="E924" i="7" s="1"/>
  <c r="C924" i="7"/>
  <c r="J924" i="7"/>
  <c r="K1200" i="7" l="1"/>
  <c r="K1204" i="7" s="1"/>
  <c r="C1200" i="7"/>
  <c r="C1204" i="7" s="1"/>
  <c r="D1200" i="7"/>
  <c r="D1204" i="7" s="1"/>
  <c r="J1200" i="7"/>
  <c r="I1200" i="7"/>
  <c r="I1204" i="7" s="1"/>
  <c r="G1200" i="7"/>
  <c r="G1204" i="7" s="1"/>
  <c r="F1200" i="7"/>
  <c r="H1200" i="7"/>
  <c r="H1204" i="7" s="1"/>
  <c r="J1204" i="7" l="1"/>
  <c r="E1200" i="7"/>
  <c r="E1204" i="7" s="1"/>
  <c r="F1204" i="7"/>
  <c r="G1207" i="7"/>
  <c r="G1211" i="7" s="1"/>
  <c r="F1207" i="7"/>
  <c r="C1207" i="7"/>
  <c r="D1207" i="7"/>
  <c r="D1211" i="7" s="1"/>
  <c r="J1207" i="7"/>
  <c r="F1211" i="7"/>
  <c r="K1207" i="7"/>
  <c r="K1211" i="7" s="1"/>
  <c r="E1207" i="7"/>
  <c r="E1211" i="7" s="1"/>
  <c r="H1207" i="7"/>
  <c r="C1211" i="7" l="1"/>
  <c r="I1207" i="7"/>
  <c r="I1211" i="7" s="1"/>
  <c r="J1211" i="7"/>
  <c r="H1211" i="7"/>
  <c r="C1099" i="7"/>
  <c r="D1099" i="7"/>
  <c r="D1103" i="7" s="1"/>
  <c r="E1099" i="7"/>
  <c r="H1099" i="7"/>
  <c r="H1103" i="7" s="1"/>
  <c r="C1103" i="7" l="1"/>
  <c r="E1103" i="7"/>
  <c r="F1099" i="7"/>
  <c r="F1103" i="7" s="1"/>
  <c r="J1099" i="7"/>
  <c r="J1103" i="7" s="1"/>
  <c r="J1264" i="7"/>
  <c r="J1268" i="7" s="1"/>
  <c r="C1263" i="7"/>
  <c r="C1264" i="7" s="1"/>
  <c r="F1264" i="7"/>
  <c r="E1264" i="7"/>
  <c r="E1268" i="7" s="1"/>
  <c r="D1264" i="7"/>
  <c r="I1264" i="7"/>
  <c r="C1268" i="7" l="1"/>
  <c r="D1268" i="7"/>
  <c r="F1268" i="7"/>
  <c r="I1268" i="7"/>
  <c r="H1264" i="7"/>
  <c r="H1268" i="7" s="1"/>
  <c r="E1315" i="7"/>
  <c r="E1319" i="7" s="1"/>
  <c r="J1315" i="7"/>
  <c r="D1315" i="7"/>
  <c r="D1319" i="7" s="1"/>
  <c r="C1314" i="7"/>
  <c r="K1315" i="7"/>
  <c r="K1319" i="7" s="1"/>
  <c r="H1315" i="7"/>
  <c r="C1315" i="7" l="1"/>
  <c r="C1319" i="7" s="1"/>
  <c r="F1315" i="7"/>
  <c r="F1319" i="7" s="1"/>
  <c r="I1315" i="7"/>
  <c r="I1319" i="7" s="1"/>
  <c r="J1319" i="7"/>
  <c r="H1319" i="7"/>
  <c r="G1315" i="7"/>
  <c r="G1319" i="7" s="1"/>
  <c r="D1422" i="7"/>
  <c r="D1426" i="7" s="1"/>
  <c r="F1422" i="7"/>
  <c r="H1422" i="7"/>
  <c r="H1426" i="7" s="1"/>
  <c r="E1422" i="7"/>
  <c r="E1426" i="7" s="1"/>
  <c r="I1422" i="7"/>
  <c r="I1426" i="7" s="1"/>
  <c r="C1422" i="7" l="1"/>
  <c r="C1426" i="7" s="1"/>
  <c r="F1426" i="7"/>
  <c r="J1422" i="7"/>
  <c r="J1426" i="7" s="1"/>
  <c r="F1437" i="7"/>
  <c r="F1441" i="7" s="1"/>
  <c r="E1437" i="7"/>
  <c r="E1441" i="7" s="1"/>
  <c r="C1437" i="7"/>
  <c r="H1437" i="7"/>
  <c r="H1441" i="7" s="1"/>
  <c r="I1437" i="7"/>
  <c r="J1437" i="7"/>
  <c r="J1441" i="7" s="1"/>
  <c r="C1441" i="7" l="1"/>
  <c r="G1437" i="7"/>
  <c r="G1441" i="7" s="1"/>
  <c r="I1441" i="7"/>
  <c r="D1437" i="7"/>
  <c r="D1441" i="7" s="1"/>
  <c r="D1171" i="7" l="1"/>
  <c r="D1175" i="7" s="1"/>
  <c r="D1178" i="7" l="1"/>
  <c r="D1182" i="7" s="1"/>
</calcChain>
</file>

<file path=xl/comments1.xml><?xml version="1.0" encoding="utf-8"?>
<comments xmlns="http://schemas.openxmlformats.org/spreadsheetml/2006/main">
  <authors>
    <author>Кучеренко Мария Михайловна</author>
  </authors>
  <commentList>
    <comment ref="D115" authorId="0" shapeId="0">
      <text>
        <r>
          <rPr>
            <b/>
            <sz val="9"/>
            <color indexed="81"/>
            <rFont val="Tahoma"/>
            <family val="2"/>
            <charset val="204"/>
          </rPr>
          <t>Кучеренко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9077,64
по смете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  <charset val="204"/>
          </rPr>
          <t>Кучеренко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774,55 по смете</t>
        </r>
      </text>
    </comment>
  </commentList>
</comments>
</file>

<file path=xl/sharedStrings.xml><?xml version="1.0" encoding="utf-8"?>
<sst xmlns="http://schemas.openxmlformats.org/spreadsheetml/2006/main" count="3822" uniqueCount="1156">
  <si>
    <t>Фундамент</t>
  </si>
  <si>
    <t>№ п/п</t>
  </si>
  <si>
    <t>Фасад</t>
  </si>
  <si>
    <t>ШИФР</t>
  </si>
  <si>
    <t>02.01</t>
  </si>
  <si>
    <t>04.01</t>
  </si>
  <si>
    <t>10.01</t>
  </si>
  <si>
    <t>11.01</t>
  </si>
  <si>
    <t>17.01</t>
  </si>
  <si>
    <t>20.01</t>
  </si>
  <si>
    <t>21.01</t>
  </si>
  <si>
    <t>22.01</t>
  </si>
  <si>
    <t>23.01</t>
  </si>
  <si>
    <t>25.01</t>
  </si>
  <si>
    <t>26.01</t>
  </si>
  <si>
    <t>27.01</t>
  </si>
  <si>
    <t>29.01</t>
  </si>
  <si>
    <t>13.02</t>
  </si>
  <si>
    <t>15.02</t>
  </si>
  <si>
    <t>20.02</t>
  </si>
  <si>
    <t>21.02</t>
  </si>
  <si>
    <t>22.02</t>
  </si>
  <si>
    <t>23.02</t>
  </si>
  <si>
    <t>24.02</t>
  </si>
  <si>
    <t>26.02</t>
  </si>
  <si>
    <t>29.02</t>
  </si>
  <si>
    <t>29.21</t>
  </si>
  <si>
    <t>Лифты</t>
  </si>
  <si>
    <t>Подвал</t>
  </si>
  <si>
    <t>23.22</t>
  </si>
  <si>
    <t>29.22</t>
  </si>
  <si>
    <t>Объекты общего имущества многоквартирного дома</t>
  </si>
  <si>
    <t>29.23</t>
  </si>
  <si>
    <t>29.24</t>
  </si>
  <si>
    <t>11.03</t>
  </si>
  <si>
    <t>13.03</t>
  </si>
  <si>
    <t>22.03</t>
  </si>
  <si>
    <t>23.03</t>
  </si>
  <si>
    <t>29.03</t>
  </si>
  <si>
    <t>08.04</t>
  </si>
  <si>
    <t>13.06</t>
  </si>
  <si>
    <t>29.06</t>
  </si>
  <si>
    <t>13.08</t>
  </si>
  <si>
    <t>20.08</t>
  </si>
  <si>
    <t>22.08</t>
  </si>
  <si>
    <t>23.08</t>
  </si>
  <si>
    <t>13.14</t>
  </si>
  <si>
    <t>15.14</t>
  </si>
  <si>
    <t>21.03</t>
  </si>
  <si>
    <t>13.01</t>
  </si>
  <si>
    <t>15.01</t>
  </si>
  <si>
    <t>12.01</t>
  </si>
  <si>
    <t>09.02</t>
  </si>
  <si>
    <t>11.02</t>
  </si>
  <si>
    <t>12.02</t>
  </si>
  <si>
    <t>08.03</t>
  </si>
  <si>
    <t>09.03</t>
  </si>
  <si>
    <t>10.03</t>
  </si>
  <si>
    <t>15.03</t>
  </si>
  <si>
    <t>20.03</t>
  </si>
  <si>
    <t>09.04</t>
  </si>
  <si>
    <t>11.04</t>
  </si>
  <si>
    <t>13.04</t>
  </si>
  <si>
    <t>20.04</t>
  </si>
  <si>
    <t>21.04</t>
  </si>
  <si>
    <t>23.04</t>
  </si>
  <si>
    <t>10.05</t>
  </si>
  <si>
    <t>12.05</t>
  </si>
  <si>
    <t>13.05</t>
  </si>
  <si>
    <t>15.05</t>
  </si>
  <si>
    <t>20.05</t>
  </si>
  <si>
    <t>21.05</t>
  </si>
  <si>
    <t>22.05</t>
  </si>
  <si>
    <t>23.05</t>
  </si>
  <si>
    <t>24.05</t>
  </si>
  <si>
    <t>08.06</t>
  </si>
  <si>
    <t>11.06</t>
  </si>
  <si>
    <t>21.06</t>
  </si>
  <si>
    <t>09.08</t>
  </si>
  <si>
    <t>10.08</t>
  </si>
  <si>
    <t>11.08</t>
  </si>
  <si>
    <t>21.08</t>
  </si>
  <si>
    <t>24.08</t>
  </si>
  <si>
    <t>29.08</t>
  </si>
  <si>
    <t>21.10</t>
  </si>
  <si>
    <t>29.11</t>
  </si>
  <si>
    <t>09.12</t>
  </si>
  <si>
    <t>13.12</t>
  </si>
  <si>
    <t>20.12</t>
  </si>
  <si>
    <t>21.12</t>
  </si>
  <si>
    <t>22.12</t>
  </si>
  <si>
    <t>25.12</t>
  </si>
  <si>
    <t>29.12</t>
  </si>
  <si>
    <t>13.13</t>
  </si>
  <si>
    <t>15.13</t>
  </si>
  <si>
    <t>29.13</t>
  </si>
  <si>
    <t>21.14</t>
  </si>
  <si>
    <t>11.15</t>
  </si>
  <si>
    <t>13.15</t>
  </si>
  <si>
    <t>15.15</t>
  </si>
  <si>
    <t>29.15</t>
  </si>
  <si>
    <t>09.16</t>
  </si>
  <si>
    <t>12.16</t>
  </si>
  <si>
    <t>13.16</t>
  </si>
  <si>
    <t>15.16</t>
  </si>
  <si>
    <t>22.16</t>
  </si>
  <si>
    <t>24.16</t>
  </si>
  <si>
    <t>23.17</t>
  </si>
  <si>
    <t>29.18</t>
  </si>
  <si>
    <t>12.19</t>
  </si>
  <si>
    <t>13.19</t>
  </si>
  <si>
    <t>15.19</t>
  </si>
  <si>
    <t>22.19</t>
  </si>
  <si>
    <t>24.19</t>
  </si>
  <si>
    <t>25.19</t>
  </si>
  <si>
    <t>29.20</t>
  </si>
  <si>
    <t>11.22</t>
  </si>
  <si>
    <t>13.22</t>
  </si>
  <si>
    <t>15.22</t>
  </si>
  <si>
    <t>20.22</t>
  </si>
  <si>
    <t>11.24</t>
  </si>
  <si>
    <t>13.24</t>
  </si>
  <si>
    <t>15.24</t>
  </si>
  <si>
    <t>11.25</t>
  </si>
  <si>
    <t>13.25</t>
  </si>
  <si>
    <t>15.25</t>
  </si>
  <si>
    <t>20.25</t>
  </si>
  <si>
    <t>29.25</t>
  </si>
  <si>
    <t>20.26</t>
  </si>
  <si>
    <t>29.26</t>
  </si>
  <si>
    <t>23.15</t>
  </si>
  <si>
    <t>-</t>
  </si>
  <si>
    <t>09.05</t>
  </si>
  <si>
    <t>08.17</t>
  </si>
  <si>
    <t>10.17</t>
  </si>
  <si>
    <t>12.17</t>
  </si>
  <si>
    <t>13.17</t>
  </si>
  <si>
    <t>08.05</t>
  </si>
  <si>
    <t>12.08</t>
  </si>
  <si>
    <t>05.01</t>
  </si>
  <si>
    <t>06.01</t>
  </si>
  <si>
    <t>08.01</t>
  </si>
  <si>
    <t>07.01</t>
  </si>
  <si>
    <t>24.01</t>
  </si>
  <si>
    <t>28.01</t>
  </si>
  <si>
    <t>31.01</t>
  </si>
  <si>
    <t>04.02</t>
  </si>
  <si>
    <t>10.02</t>
  </si>
  <si>
    <t>25.02</t>
  </si>
  <si>
    <t>04</t>
  </si>
  <si>
    <t>02</t>
  </si>
  <si>
    <t>03</t>
  </si>
  <si>
    <t>05</t>
  </si>
  <si>
    <t>06</t>
  </si>
  <si>
    <t>10</t>
  </si>
  <si>
    <t>08</t>
  </si>
  <si>
    <t>11</t>
  </si>
  <si>
    <t>12</t>
  </si>
  <si>
    <t>13</t>
  </si>
  <si>
    <t>27.02</t>
  </si>
  <si>
    <t>12.03</t>
  </si>
  <si>
    <t>25.03</t>
  </si>
  <si>
    <t>28.03</t>
  </si>
  <si>
    <t>31.03</t>
  </si>
  <si>
    <t>22.04</t>
  </si>
  <si>
    <t>25.04</t>
  </si>
  <si>
    <t>27.04</t>
  </si>
  <si>
    <t>25.05</t>
  </si>
  <si>
    <t>27.05</t>
  </si>
  <si>
    <t>29.05</t>
  </si>
  <si>
    <t>31.05</t>
  </si>
  <si>
    <t>20.06</t>
  </si>
  <si>
    <t>23.06</t>
  </si>
  <si>
    <t>25.06</t>
  </si>
  <si>
    <t>25.08</t>
  </si>
  <si>
    <t>26.08</t>
  </si>
  <si>
    <t>27.08</t>
  </si>
  <si>
    <t>20.10</t>
  </si>
  <si>
    <t>28.11</t>
  </si>
  <si>
    <t>24.12</t>
  </si>
  <si>
    <t>26.12</t>
  </si>
  <si>
    <t>31.12</t>
  </si>
  <si>
    <t>20.14</t>
  </si>
  <si>
    <t>25.14</t>
  </si>
  <si>
    <t>27.14</t>
  </si>
  <si>
    <t>20.15</t>
  </si>
  <si>
    <t>21.15</t>
  </si>
  <si>
    <t>24.15</t>
  </si>
  <si>
    <t>25.15</t>
  </si>
  <si>
    <t>25.16</t>
  </si>
  <si>
    <t>20.17</t>
  </si>
  <si>
    <t>22.17</t>
  </si>
  <si>
    <t>24.17</t>
  </si>
  <si>
    <t>25.17</t>
  </si>
  <si>
    <t>20.18</t>
  </si>
  <si>
    <t>28.18</t>
  </si>
  <si>
    <t>10.19</t>
  </si>
  <si>
    <t>23.19</t>
  </si>
  <si>
    <t>27.19</t>
  </si>
  <si>
    <t>08.21</t>
  </si>
  <si>
    <t>09.21</t>
  </si>
  <si>
    <t>28.21</t>
  </si>
  <si>
    <t>12.22</t>
  </si>
  <si>
    <t>22.22</t>
  </si>
  <si>
    <t>28.22</t>
  </si>
  <si>
    <t>23.24</t>
  </si>
  <si>
    <t>25.24</t>
  </si>
  <si>
    <t>27.24</t>
  </si>
  <si>
    <t>09.25</t>
  </si>
  <si>
    <t>28.25</t>
  </si>
  <si>
    <t>20.11</t>
  </si>
  <si>
    <t>11.12</t>
  </si>
  <si>
    <t>Итого</t>
  </si>
  <si>
    <t>08.25</t>
  </si>
  <si>
    <t>Предпроект</t>
  </si>
  <si>
    <t>03.01</t>
  </si>
  <si>
    <t>29.09</t>
  </si>
  <si>
    <t>коэф проект</t>
  </si>
  <si>
    <t>Разработка ПСД</t>
  </si>
  <si>
    <t xml:space="preserve">Крыша </t>
  </si>
  <si>
    <t>ВДИС водоотведения</t>
  </si>
  <si>
    <t>ВДИС теплоснабжения</t>
  </si>
  <si>
    <t>Строительный контроль</t>
  </si>
  <si>
    <t>Строительно-монтажные работы</t>
  </si>
  <si>
    <t>ВДИС электроснабжения*</t>
  </si>
  <si>
    <t>ВДИС ХВС**</t>
  </si>
  <si>
    <t>ВДИС ГВС***</t>
  </si>
  <si>
    <t>16.01</t>
  </si>
  <si>
    <t>09.01</t>
  </si>
  <si>
    <t>05.02</t>
  </si>
  <si>
    <t>27.03</t>
  </si>
  <si>
    <t>03.08</t>
  </si>
  <si>
    <t>04.08</t>
  </si>
  <si>
    <t>14.08</t>
  </si>
  <si>
    <t>10.15</t>
  </si>
  <si>
    <t>14.16</t>
  </si>
  <si>
    <t>03.19</t>
  </si>
  <si>
    <t>04.19</t>
  </si>
  <si>
    <t>01.21</t>
  </si>
  <si>
    <t xml:space="preserve">2. Размер предельной стоимости услуг по разработке проектной документации, строительному контролю и работ по капитальному ремонту общего имущества в многоквартирном доме из расчета на 1 (один) метр квадратный общей площади  (в рублях), кроме работ по капитальному ремонту крыш и лифтов </t>
  </si>
  <si>
    <t>1. Классификация многоквартирных жилых домов в Камчатском крае</t>
  </si>
  <si>
    <t>Тип</t>
  </si>
  <si>
    <t>Характеристика многоквартирных домов по видам ограждающих конструкций (группе капитальности)</t>
  </si>
  <si>
    <t>Этаж- ность</t>
  </si>
  <si>
    <t>Материал кровли</t>
  </si>
  <si>
    <t>Классификация</t>
  </si>
  <si>
    <t>01 зона</t>
  </si>
  <si>
    <t>02 зона</t>
  </si>
  <si>
    <t>03 зона</t>
  </si>
  <si>
    <t>04 зона</t>
  </si>
  <si>
    <t>05 зона</t>
  </si>
  <si>
    <t>06 зона</t>
  </si>
  <si>
    <t>07 зона</t>
  </si>
  <si>
    <t>08 зона</t>
  </si>
  <si>
    <t>09 зона</t>
  </si>
  <si>
    <t>10 зона</t>
  </si>
  <si>
    <t>11 зона</t>
  </si>
  <si>
    <t>12 зона</t>
  </si>
  <si>
    <t>13 зона</t>
  </si>
  <si>
    <t>14 зона</t>
  </si>
  <si>
    <t>15 зона</t>
  </si>
  <si>
    <t>16 зона</t>
  </si>
  <si>
    <t>17 зона</t>
  </si>
  <si>
    <t>18 зона</t>
  </si>
  <si>
    <t>19 зона</t>
  </si>
  <si>
    <t>20 зона</t>
  </si>
  <si>
    <t>21 зона</t>
  </si>
  <si>
    <t>22 зона</t>
  </si>
  <si>
    <t>23 зона</t>
  </si>
  <si>
    <t>24 зона</t>
  </si>
  <si>
    <t>25 зона</t>
  </si>
  <si>
    <t>26 зона</t>
  </si>
  <si>
    <t>г. Петропавловск-Камчатский</t>
  </si>
  <si>
    <t>г. Елизово, п.Светлый, п.Нагорный, п.Пионерский, п.Двуречье, п.Новый, п.Красный, п.Крутобереговый</t>
  </si>
  <si>
    <t>р.п.Вулканный, п.Раздольный, с.Коряки</t>
  </si>
  <si>
    <t xml:space="preserve">с.Николаевка, п.Сосновка, п.Зеленый, п.Юж. Коряки </t>
  </si>
  <si>
    <t>п.Термальный, с.Паратунка, п.Березняки, п.Лесной, п.Сев.Коряки, с.Пиначево, п.Кеткино</t>
  </si>
  <si>
    <t>п.Дальний, с.Малки, п.Сокоч, п.Начики</t>
  </si>
  <si>
    <t>с.Ганалы</t>
  </si>
  <si>
    <t>с.Мильково, с.Пущино, с.Шаромы, с.Кирганик</t>
  </si>
  <si>
    <t>п.Таежный, с.Долиновка</t>
  </si>
  <si>
    <t>п.Лазо, п.Атласово</t>
  </si>
  <si>
    <t>п.Козыревск, с. Майское</t>
  </si>
  <si>
    <t>п.Ключи</t>
  </si>
  <si>
    <t>п. Усть-Камчатск, с. Крутоберегово</t>
  </si>
  <si>
    <t>с.Апача</t>
  </si>
  <si>
    <t>с.Усть-Большерецк, с.Кавалерское, с.Карымай</t>
  </si>
  <si>
    <t>п. Оетябрьский</t>
  </si>
  <si>
    <t>п.Озерновский, п.Паужетка,                            с. Запорожье</t>
  </si>
  <si>
    <t>с.Соболево, п.Крутогоровский, п.Ичинский, с. Устьевое</t>
  </si>
  <si>
    <t>г. Вилючинск</t>
  </si>
  <si>
    <t>с.Манилы, с.Каменское, с.Слаутное, с.Аянка, с. Парень, с.Таловка, с.Оклан</t>
  </si>
  <si>
    <t>с.Тиличики, с.Корф, с. Хаилино, с. Апука, с. Средние Пахачи, с. Пахачи, с. Ачайваям, с. Вывенка</t>
  </si>
  <si>
    <t xml:space="preserve">с.Оссора, с.Ивашка, с.Карага, с.Кострома, с.Тымлат,  с.Ильпырское </t>
  </si>
  <si>
    <t>с.Никольское</t>
  </si>
  <si>
    <t>с.Усть-Харюзово, с.Тигиль, с.Воямполка, с. Ковран, с.Седанка</t>
  </si>
  <si>
    <t>п.Палана, с.Лесная</t>
  </si>
  <si>
    <t xml:space="preserve"> с.Эссо, с.Анавгай</t>
  </si>
  <si>
    <t>01</t>
  </si>
  <si>
    <t>скатная</t>
  </si>
  <si>
    <t>01.01</t>
  </si>
  <si>
    <t>01.02</t>
  </si>
  <si>
    <t>01.03</t>
  </si>
  <si>
    <t>01.04</t>
  </si>
  <si>
    <t>01.05</t>
  </si>
  <si>
    <t>01.06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</si>
  <si>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</si>
  <si>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</si>
  <si>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</si>
  <si>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</si>
  <si>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</si>
  <si>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</si>
  <si>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</si>
  <si>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</si>
  <si>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</si>
  <si>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</si>
  <si>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</si>
  <si>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</si>
  <si>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</si>
  <si>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01.22</t>
  </si>
  <si>
    <t>01.23</t>
  </si>
  <si>
    <t>01.24</t>
  </si>
  <si>
    <t>01.25</t>
  </si>
  <si>
    <t>01.26</t>
  </si>
  <si>
    <t>плоская</t>
  </si>
  <si>
    <t>02.02</t>
  </si>
  <si>
    <t>02.03</t>
  </si>
  <si>
    <t>02.04</t>
  </si>
  <si>
    <t>02.05</t>
  </si>
  <si>
    <t>02.06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</si>
  <si>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</si>
  <si>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</si>
  <si>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</si>
  <si>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</si>
  <si>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</si>
  <si>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</si>
  <si>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</si>
  <si>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</si>
  <si>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</si>
  <si>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</si>
  <si>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</si>
  <si>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</si>
  <si>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</si>
  <si>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</si>
  <si>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</si>
  <si>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</si>
  <si>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</si>
  <si>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02,25</t>
  </si>
  <si>
    <t>02.26</t>
  </si>
  <si>
    <t>03.02</t>
  </si>
  <si>
    <t>03.03</t>
  </si>
  <si>
    <t>03.04</t>
  </si>
  <si>
    <t>03.05</t>
  </si>
  <si>
    <t>03.06</t>
  </si>
  <si>
    <t>03.09</t>
  </si>
  <si>
    <t>03.10</t>
  </si>
  <si>
    <t>03.11</t>
  </si>
  <si>
    <t>03.12</t>
  </si>
  <si>
    <t>03.3</t>
  </si>
  <si>
    <t>03.14</t>
  </si>
  <si>
    <t>03.15</t>
  </si>
  <si>
    <t>03.16</t>
  </si>
  <si>
    <t>03.17</t>
  </si>
  <si>
    <t>03.18</t>
  </si>
  <si>
    <t>03.20</t>
  </si>
  <si>
    <t>03.21</t>
  </si>
  <si>
    <t>03.22</t>
  </si>
  <si>
    <t>03.23</t>
  </si>
  <si>
    <t>03.24</t>
  </si>
  <si>
    <t>03.25</t>
  </si>
  <si>
    <t>03.26</t>
  </si>
  <si>
    <t>04.03</t>
  </si>
  <si>
    <t>04.04</t>
  </si>
  <si>
    <t>04.05</t>
  </si>
  <si>
    <t>04.06</t>
  </si>
  <si>
    <t>04.09</t>
  </si>
  <si>
    <t>04.10</t>
  </si>
  <si>
    <t>04.11</t>
  </si>
  <si>
    <t>04.12</t>
  </si>
  <si>
    <t>04.13</t>
  </si>
  <si>
    <t>04.14</t>
  </si>
  <si>
    <t>04.15</t>
  </si>
  <si>
    <t>04.16</t>
  </si>
  <si>
    <t>04.17</t>
  </si>
  <si>
    <t>04.18</t>
  </si>
  <si>
    <t>04.20</t>
  </si>
  <si>
    <t>04.21</t>
  </si>
  <si>
    <t>04.22</t>
  </si>
  <si>
    <t>04.23</t>
  </si>
  <si>
    <t>04.24</t>
  </si>
  <si>
    <t>04.25</t>
  </si>
  <si>
    <t>04.26</t>
  </si>
  <si>
    <t>05.03</t>
  </si>
  <si>
    <t>05.04</t>
  </si>
  <si>
    <t>05.05</t>
  </si>
  <si>
    <t>05.06</t>
  </si>
  <si>
    <t>05.08</t>
  </si>
  <si>
    <t>05.09</t>
  </si>
  <si>
    <t>05.10</t>
  </si>
  <si>
    <t>05.11</t>
  </si>
  <si>
    <t>05.12</t>
  </si>
  <si>
    <t>05.13</t>
  </si>
  <si>
    <t>05.14</t>
  </si>
  <si>
    <t>05.15</t>
  </si>
  <si>
    <t>05.16</t>
  </si>
  <si>
    <t>05.17</t>
  </si>
  <si>
    <t>05.18</t>
  </si>
  <si>
    <t>05.19</t>
  </si>
  <si>
    <t>05.20</t>
  </si>
  <si>
    <t>05.21</t>
  </si>
  <si>
    <t>05.22</t>
  </si>
  <si>
    <t>05.23</t>
  </si>
  <si>
    <t>05.24</t>
  </si>
  <si>
    <t>05.25</t>
  </si>
  <si>
    <t>05.26</t>
  </si>
  <si>
    <t>06.02</t>
  </si>
  <si>
    <t>06.03</t>
  </si>
  <si>
    <t>06.04</t>
  </si>
  <si>
    <t>06.05</t>
  </si>
  <si>
    <t>06.06</t>
  </si>
  <si>
    <t>06.08</t>
  </si>
  <si>
    <t>06.09</t>
  </si>
  <si>
    <t>06.10</t>
  </si>
  <si>
    <t>06.11</t>
  </si>
  <si>
    <t>06.12</t>
  </si>
  <si>
    <t>06.13</t>
  </si>
  <si>
    <t>06.14</t>
  </si>
  <si>
    <t>06.15</t>
  </si>
  <si>
    <t>06.16</t>
  </si>
  <si>
    <t>06.17</t>
  </si>
  <si>
    <t>06.18</t>
  </si>
  <si>
    <t>06.19</t>
  </si>
  <si>
    <t>06.20</t>
  </si>
  <si>
    <t>06.21</t>
  </si>
  <si>
    <t>26.22</t>
  </si>
  <si>
    <t>06.23</t>
  </si>
  <si>
    <t>06.24</t>
  </si>
  <si>
    <t>06.25</t>
  </si>
  <si>
    <t>06.26</t>
  </si>
  <si>
    <t>07</t>
  </si>
  <si>
    <t xml:space="preserve"> 12-16</t>
  </si>
  <si>
    <t>07.02</t>
  </si>
  <si>
    <t>07.03</t>
  </si>
  <si>
    <t>07.04</t>
  </si>
  <si>
    <t>07.05</t>
  </si>
  <si>
    <t>07.07</t>
  </si>
  <si>
    <t>07.08</t>
  </si>
  <si>
    <t>07.09</t>
  </si>
  <si>
    <t>07.10</t>
  </si>
  <si>
    <t>07.11</t>
  </si>
  <si>
    <t>07.12</t>
  </si>
  <si>
    <t>07.13</t>
  </si>
  <si>
    <t>07.14</t>
  </si>
  <si>
    <t>07.15</t>
  </si>
  <si>
    <t>07.16</t>
  </si>
  <si>
    <t>07.17</t>
  </si>
  <si>
    <t>07.18</t>
  </si>
  <si>
    <t>07.19</t>
  </si>
  <si>
    <t>07.20</t>
  </si>
  <si>
    <t>07.21</t>
  </si>
  <si>
    <t>07.22</t>
  </si>
  <si>
    <t>07.23</t>
  </si>
  <si>
    <t>07.24</t>
  </si>
  <si>
    <t>07.25</t>
  </si>
  <si>
    <t>07.26</t>
  </si>
  <si>
    <t>Панельные, крупноблочные                              (2 группа капитальности)</t>
  </si>
  <si>
    <t>08.02</t>
  </si>
  <si>
    <t>08.08</t>
  </si>
  <si>
    <t>08.09</t>
  </si>
  <si>
    <t>08.10</t>
  </si>
  <si>
    <t>08.11</t>
  </si>
  <si>
    <t>08.12</t>
  </si>
  <si>
    <t>08.13</t>
  </si>
  <si>
    <t>08.14</t>
  </si>
  <si>
    <t>08.15</t>
  </si>
  <si>
    <t>08.16</t>
  </si>
  <si>
    <t>08.18</t>
  </si>
  <si>
    <t>08.19</t>
  </si>
  <si>
    <t>08.20</t>
  </si>
  <si>
    <t>08.22</t>
  </si>
  <si>
    <t>08.23</t>
  </si>
  <si>
    <t>08.24</t>
  </si>
  <si>
    <t>08.26</t>
  </si>
  <si>
    <t>09</t>
  </si>
  <si>
    <t>09.06</t>
  </si>
  <si>
    <t>09.09</t>
  </si>
  <si>
    <t>09.10</t>
  </si>
  <si>
    <t>09.11</t>
  </si>
  <si>
    <t>09.13</t>
  </si>
  <si>
    <t>09.14</t>
  </si>
  <si>
    <t>09.15</t>
  </si>
  <si>
    <t>09.17</t>
  </si>
  <si>
    <t>09.18</t>
  </si>
  <si>
    <t>09.19</t>
  </si>
  <si>
    <t>09.20</t>
  </si>
  <si>
    <t>09.22</t>
  </si>
  <si>
    <t>09.23</t>
  </si>
  <si>
    <t>09.24</t>
  </si>
  <si>
    <t>09.26</t>
  </si>
  <si>
    <t>10.04</t>
  </si>
  <si>
    <t>10.06</t>
  </si>
  <si>
    <t>10.09</t>
  </si>
  <si>
    <t>10.10</t>
  </si>
  <si>
    <t>10.11</t>
  </si>
  <si>
    <t>10.12</t>
  </si>
  <si>
    <t>10.13</t>
  </si>
  <si>
    <t>10.14</t>
  </si>
  <si>
    <t>10.16</t>
  </si>
  <si>
    <t>10.18</t>
  </si>
  <si>
    <t>10.20</t>
  </si>
  <si>
    <t>10.21</t>
  </si>
  <si>
    <t>10.22</t>
  </si>
  <si>
    <t>10.23</t>
  </si>
  <si>
    <t>10.24</t>
  </si>
  <si>
    <t>10.25</t>
  </si>
  <si>
    <t>10.26</t>
  </si>
  <si>
    <t>11.05</t>
  </si>
  <si>
    <t>11.09</t>
  </si>
  <si>
    <t>11.10</t>
  </si>
  <si>
    <t>11.11</t>
  </si>
  <si>
    <t>11.13</t>
  </si>
  <si>
    <t>11.14</t>
  </si>
  <si>
    <t>11.16</t>
  </si>
  <si>
    <t>11.17</t>
  </si>
  <si>
    <t>11.18</t>
  </si>
  <si>
    <t>11.19</t>
  </si>
  <si>
    <t>11.20</t>
  </si>
  <si>
    <t>11.21</t>
  </si>
  <si>
    <t>11.23</t>
  </si>
  <si>
    <t>11.26</t>
  </si>
  <si>
    <t>12.04</t>
  </si>
  <si>
    <t>12.06</t>
  </si>
  <si>
    <t>12.09</t>
  </si>
  <si>
    <t>12.10</t>
  </si>
  <si>
    <t>12.11</t>
  </si>
  <si>
    <t>12.12</t>
  </si>
  <si>
    <t>12.13</t>
  </si>
  <si>
    <t>12.14</t>
  </si>
  <si>
    <t>12.15</t>
  </si>
  <si>
    <t>12.18</t>
  </si>
  <si>
    <t>12.20</t>
  </si>
  <si>
    <t>12.21</t>
  </si>
  <si>
    <t>12.23</t>
  </si>
  <si>
    <t>12.24</t>
  </si>
  <si>
    <t>12.25</t>
  </si>
  <si>
    <t>12.26</t>
  </si>
  <si>
    <t>13.09</t>
  </si>
  <si>
    <t>13.10</t>
  </si>
  <si>
    <t>13.11</t>
  </si>
  <si>
    <t>13.18</t>
  </si>
  <si>
    <t>13.20</t>
  </si>
  <si>
    <t>13.21</t>
  </si>
  <si>
    <t>13.23</t>
  </si>
  <si>
    <t>13.26</t>
  </si>
  <si>
    <t>14</t>
  </si>
  <si>
    <t>14.01</t>
  </si>
  <si>
    <t>14.02</t>
  </si>
  <si>
    <t>14.03</t>
  </si>
  <si>
    <t>14.04</t>
  </si>
  <si>
    <t>14.05</t>
  </si>
  <si>
    <t>14.06</t>
  </si>
  <si>
    <t>14.09</t>
  </si>
  <si>
    <t>14.10</t>
  </si>
  <si>
    <t>14.11</t>
  </si>
  <si>
    <t>14.12</t>
  </si>
  <si>
    <t>14.13</t>
  </si>
  <si>
    <t>14.14</t>
  </si>
  <si>
    <t>14.15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</si>
  <si>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</si>
  <si>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</si>
  <si>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</si>
  <si>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</si>
  <si>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</si>
  <si>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</si>
  <si>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</si>
  <si>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</si>
  <si>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</si>
  <si>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</si>
  <si>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15</t>
  </si>
  <si>
    <t>15.04</t>
  </si>
  <si>
    <t>15.06</t>
  </si>
  <si>
    <t>15.08</t>
  </si>
  <si>
    <t>15.09</t>
  </si>
  <si>
    <t>15.10</t>
  </si>
  <si>
    <t>15.11</t>
  </si>
  <si>
    <t>15.12</t>
  </si>
  <si>
    <t>15.17</t>
  </si>
  <si>
    <t>15.18</t>
  </si>
  <si>
    <t>15.20</t>
  </si>
  <si>
    <t>15.21</t>
  </si>
  <si>
    <t>15.23</t>
  </si>
  <si>
    <t>15.26</t>
  </si>
  <si>
    <t>16</t>
  </si>
  <si>
    <t>16.02</t>
  </si>
  <si>
    <t>16.03</t>
  </si>
  <si>
    <t>16.04</t>
  </si>
  <si>
    <t>16.05</t>
  </si>
  <si>
    <t>16.06</t>
  </si>
  <si>
    <t>16.08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</si>
  <si>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</si>
  <si>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</si>
  <si>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</si>
  <si>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</si>
  <si>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</si>
  <si>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</si>
  <si>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</si>
  <si>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</si>
  <si>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</si>
  <si>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</si>
  <si>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</si>
  <si>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</si>
  <si>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</si>
  <si>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</si>
  <si>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</si>
  <si>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</si>
  <si>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</si>
  <si>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</si>
  <si>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17</t>
  </si>
  <si>
    <t>17.02</t>
  </si>
  <si>
    <t>17.03</t>
  </si>
  <si>
    <t>17.04</t>
  </si>
  <si>
    <t>17.05</t>
  </si>
  <si>
    <t>17.06</t>
  </si>
  <si>
    <t>17.08</t>
  </si>
  <si>
    <t>17.09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</si>
  <si>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</si>
  <si>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</si>
  <si>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</si>
  <si>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</si>
  <si>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</si>
  <si>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</si>
  <si>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</si>
  <si>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</si>
  <si>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</si>
  <si>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</si>
  <si>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</si>
  <si>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</si>
  <si>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</si>
  <si>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</si>
  <si>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</si>
  <si>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</si>
  <si>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</si>
  <si>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18</t>
  </si>
  <si>
    <t>18.01</t>
  </si>
  <si>
    <t>18.02</t>
  </si>
  <si>
    <t>18.03</t>
  </si>
  <si>
    <t>18.04</t>
  </si>
  <si>
    <t>18.05</t>
  </si>
  <si>
    <t>18.06</t>
  </si>
  <si>
    <t>18.08</t>
  </si>
  <si>
    <t>18.09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</si>
  <si>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</si>
  <si>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</si>
  <si>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</si>
  <si>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</si>
  <si>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</si>
  <si>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</si>
  <si>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</si>
  <si>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</si>
  <si>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</si>
  <si>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</si>
  <si>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</si>
  <si>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</si>
  <si>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</si>
  <si>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</si>
  <si>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</si>
  <si>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</si>
  <si>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</si>
  <si>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19</t>
  </si>
  <si>
    <t>19.01</t>
  </si>
  <si>
    <t>19.02</t>
  </si>
  <si>
    <t>19.03</t>
  </si>
  <si>
    <t>19.04</t>
  </si>
  <si>
    <t>19.05</t>
  </si>
  <si>
    <t>19.06</t>
  </si>
  <si>
    <t>19.08</t>
  </si>
  <si>
    <t>19.09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</si>
  <si>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</si>
  <si>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</si>
  <si>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</si>
  <si>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</si>
  <si>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</si>
  <si>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</si>
  <si>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</si>
  <si>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</si>
  <si>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</si>
  <si>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</si>
  <si>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</si>
  <si>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</si>
  <si>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</si>
  <si>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</si>
  <si>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</si>
  <si>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</si>
  <si>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</si>
  <si>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20</t>
  </si>
  <si>
    <t>20.09</t>
  </si>
  <si>
    <t>20.13</t>
  </si>
  <si>
    <t>20.16</t>
  </si>
  <si>
    <t>20.19</t>
  </si>
  <si>
    <t>20.20</t>
  </si>
  <si>
    <t>20.21</t>
  </si>
  <si>
    <t>20.23</t>
  </si>
  <si>
    <t>20.24</t>
  </si>
  <si>
    <t>21</t>
  </si>
  <si>
    <t>21.09</t>
  </si>
  <si>
    <t>21.11</t>
  </si>
  <si>
    <t>21.13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</si>
  <si>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</si>
  <si>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</si>
  <si>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</si>
  <si>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</si>
  <si>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</si>
  <si>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</si>
  <si>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</si>
  <si>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</si>
  <si>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</si>
  <si>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</si>
  <si>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</si>
  <si>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22</t>
  </si>
  <si>
    <t>22.06</t>
  </si>
  <si>
    <t>22.09</t>
  </si>
  <si>
    <t>22.10</t>
  </si>
  <si>
    <t>22.11</t>
  </si>
  <si>
    <t>22.13</t>
  </si>
  <si>
    <t>22.14</t>
  </si>
  <si>
    <t>22.15</t>
  </si>
  <si>
    <t>22.18</t>
  </si>
  <si>
    <t>22.20</t>
  </si>
  <si>
    <t>22.21</t>
  </si>
  <si>
    <t>22.23</t>
  </si>
  <si>
    <t>22.24</t>
  </si>
  <si>
    <t>22.25</t>
  </si>
  <si>
    <t>22.26</t>
  </si>
  <si>
    <t>23</t>
  </si>
  <si>
    <t>23.09</t>
  </si>
  <si>
    <t>23.10</t>
  </si>
  <si>
    <t>23.11</t>
  </si>
  <si>
    <t>23.12</t>
  </si>
  <si>
    <t>23.13</t>
  </si>
  <si>
    <t>23.14</t>
  </si>
  <si>
    <t>23.16</t>
  </si>
  <si>
    <t>23.18</t>
  </si>
  <si>
    <t>23.20</t>
  </si>
  <si>
    <t>23.21</t>
  </si>
  <si>
    <t>23.23</t>
  </si>
  <si>
    <t>23.25</t>
  </si>
  <si>
    <t>23.26</t>
  </si>
  <si>
    <t>24</t>
  </si>
  <si>
    <t>24.03</t>
  </si>
  <si>
    <t>24.04</t>
  </si>
  <si>
    <t>24.06</t>
  </si>
  <si>
    <t>24.09</t>
  </si>
  <si>
    <t>24.10</t>
  </si>
  <si>
    <t>24.11</t>
  </si>
  <si>
    <t>24.13</t>
  </si>
  <si>
    <t>24.14</t>
  </si>
  <si>
    <t>24.18</t>
  </si>
  <si>
    <t>24.20</t>
  </si>
  <si>
    <t>24.21</t>
  </si>
  <si>
    <t>24.22</t>
  </si>
  <si>
    <t>24.23</t>
  </si>
  <si>
    <t>24.24</t>
  </si>
  <si>
    <t>24.25</t>
  </si>
  <si>
    <t>24.26</t>
  </si>
  <si>
    <t>25</t>
  </si>
  <si>
    <t>25.09</t>
  </si>
  <si>
    <t>25.10</t>
  </si>
  <si>
    <t>25.11</t>
  </si>
  <si>
    <t>25.13</t>
  </si>
  <si>
    <t>25.18</t>
  </si>
  <si>
    <t>25.20</t>
  </si>
  <si>
    <t>25.21</t>
  </si>
  <si>
    <t>25.22</t>
  </si>
  <si>
    <t>25.23</t>
  </si>
  <si>
    <t>25.25</t>
  </si>
  <si>
    <t>25.26</t>
  </si>
  <si>
    <t>26</t>
  </si>
  <si>
    <t>26.03</t>
  </si>
  <si>
    <t>26.04</t>
  </si>
  <si>
    <t>26.05</t>
  </si>
  <si>
    <t>26.06</t>
  </si>
  <si>
    <t>26.09</t>
  </si>
  <si>
    <t>26.10</t>
  </si>
  <si>
    <t>26.11</t>
  </si>
  <si>
    <t>26.13</t>
  </si>
  <si>
    <t>26.14</t>
  </si>
  <si>
    <t>26.15</t>
  </si>
  <si>
    <t>26.16</t>
  </si>
  <si>
    <t>26.17</t>
  </si>
  <si>
    <t>26.18</t>
  </si>
  <si>
    <t>26.19</t>
  </si>
  <si>
    <t>26.20</t>
  </si>
  <si>
    <t>26.21</t>
  </si>
  <si>
    <t>26.23</t>
  </si>
  <si>
    <t>26.24</t>
  </si>
  <si>
    <t>26.25</t>
  </si>
  <si>
    <t>26.26</t>
  </si>
  <si>
    <t>27</t>
  </si>
  <si>
    <t>27.06</t>
  </si>
  <si>
    <t>27.09</t>
  </si>
  <si>
    <t>27.10</t>
  </si>
  <si>
    <t>27.11</t>
  </si>
  <si>
    <t>27.12</t>
  </si>
  <si>
    <t>27.13</t>
  </si>
  <si>
    <t>27.15</t>
  </si>
  <si>
    <t>27.16</t>
  </si>
  <si>
    <t>27.17</t>
  </si>
  <si>
    <t>27.18</t>
  </si>
  <si>
    <t>27.20</t>
  </si>
  <si>
    <t>27.21</t>
  </si>
  <si>
    <t>27.22</t>
  </si>
  <si>
    <t>27.23</t>
  </si>
  <si>
    <t>27.25</t>
  </si>
  <si>
    <t>27.26</t>
  </si>
  <si>
    <t>28</t>
  </si>
  <si>
    <t>28.02</t>
  </si>
  <si>
    <t>28.04</t>
  </si>
  <si>
    <t>28.05</t>
  </si>
  <si>
    <t>28.06</t>
  </si>
  <si>
    <t>28.08</t>
  </si>
  <si>
    <t>28.09</t>
  </si>
  <si>
    <t>28.10</t>
  </si>
  <si>
    <t>28.12</t>
  </si>
  <si>
    <t>28.13</t>
  </si>
  <si>
    <t>28.14</t>
  </si>
  <si>
    <t>28.15</t>
  </si>
  <si>
    <t>28.16</t>
  </si>
  <si>
    <t>28.17</t>
  </si>
  <si>
    <t>28.19</t>
  </si>
  <si>
    <t>28.20</t>
  </si>
  <si>
    <t>28.23</t>
  </si>
  <si>
    <t>28.24</t>
  </si>
  <si>
    <t>28.26</t>
  </si>
  <si>
    <t>29</t>
  </si>
  <si>
    <t>29.04</t>
  </si>
  <si>
    <t>29.10</t>
  </si>
  <si>
    <t>29.14</t>
  </si>
  <si>
    <t>29.16</t>
  </si>
  <si>
    <t>29.17</t>
  </si>
  <si>
    <t>29.19</t>
  </si>
  <si>
    <t>30</t>
  </si>
  <si>
    <t>30.01</t>
  </si>
  <si>
    <t>30.02</t>
  </si>
  <si>
    <t>30.03</t>
  </si>
  <si>
    <t>30.04</t>
  </si>
  <si>
    <t>30.05</t>
  </si>
  <si>
    <t>30.06</t>
  </si>
  <si>
    <t>30.08</t>
  </si>
  <si>
    <t>30.09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</si>
  <si>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</si>
  <si>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</si>
  <si>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</si>
  <si>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</si>
  <si>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</si>
  <si>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</si>
  <si>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</si>
  <si>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</si>
  <si>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</si>
  <si>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</si>
  <si>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</si>
  <si>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</si>
  <si>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</si>
  <si>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</si>
  <si>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</si>
  <si>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</si>
  <si>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</si>
  <si>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31</t>
  </si>
  <si>
    <t>31.02</t>
  </si>
  <si>
    <t>31.04</t>
  </si>
  <si>
    <t>31.06</t>
  </si>
  <si>
    <t>31.08</t>
  </si>
  <si>
    <t>31.09</t>
  </si>
  <si>
    <t>31.10</t>
  </si>
  <si>
    <t>31.11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</si>
  <si>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</si>
  <si>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</si>
  <si>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</si>
  <si>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</si>
  <si>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</si>
  <si>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</si>
  <si>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</si>
  <si>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</si>
  <si>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</si>
  <si>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</si>
  <si>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</si>
  <si>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</si>
  <si>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</si>
  <si>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</si>
  <si>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32</t>
  </si>
  <si>
    <t>32.01</t>
  </si>
  <si>
    <t>32.02</t>
  </si>
  <si>
    <t>32.03</t>
  </si>
  <si>
    <t>32.04</t>
  </si>
  <si>
    <t>32.05</t>
  </si>
  <si>
    <t>32.06</t>
  </si>
  <si>
    <t>32.08</t>
  </si>
  <si>
    <t>32.09</t>
  </si>
  <si>
    <t>32.10</t>
  </si>
  <si>
    <t>32.11</t>
  </si>
  <si>
    <t>32.12</t>
  </si>
  <si>
    <t>32.13</t>
  </si>
  <si>
    <t>32.14</t>
  </si>
  <si>
    <t>32.15</t>
  </si>
  <si>
    <t>32.17</t>
  </si>
  <si>
    <t>32.18</t>
  </si>
  <si>
    <t>32.19</t>
  </si>
  <si>
    <t>32.20</t>
  </si>
  <si>
    <t>32.21</t>
  </si>
  <si>
    <t>32.22</t>
  </si>
  <si>
    <t>32.23</t>
  </si>
  <si>
    <t>32,24</t>
  </si>
  <si>
    <t>32.25</t>
  </si>
  <si>
    <t>32.26</t>
  </si>
  <si>
    <t>Монолитные (1 группа капитальности)</t>
  </si>
  <si>
    <t>Блочные (3 группа капитальности)</t>
  </si>
  <si>
    <t>Деревянные (4 группа капитальности)</t>
  </si>
  <si>
    <t>Предельная стоимость услуг и (или) работ по капитальному ремонту общего имущества в многоквартирном доме в Камчатском крае на 2021-2023 годы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</si>
  <si>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</si>
  <si>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</si>
  <si>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</si>
  <si>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</si>
  <si>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</si>
  <si>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</si>
  <si>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</si>
  <si>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</si>
  <si>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</si>
  <si>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</si>
  <si>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</si>
  <si>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</si>
  <si>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</si>
  <si>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</si>
  <si>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</si>
  <si>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</si>
  <si>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</si>
  <si>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</si>
  <si>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</si>
  <si>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</si>
  <si>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</si>
  <si>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</si>
  <si>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</si>
  <si>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</si>
  <si>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</si>
  <si>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</si>
  <si>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</si>
  <si>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</si>
  <si>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</si>
  <si>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</si>
  <si>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</si>
  <si>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</si>
  <si>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</si>
  <si>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</si>
  <si>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</si>
  <si>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</si>
  <si>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</si>
  <si>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</si>
  <si>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</si>
  <si>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</si>
  <si>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</si>
  <si>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</si>
  <si>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</si>
  <si>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3.1.</t>
  </si>
  <si>
    <t>3.2.</t>
  </si>
  <si>
    <t>Разработка ПД****</t>
  </si>
  <si>
    <t>Разработка ПД</t>
  </si>
  <si>
    <t xml:space="preserve">1.Зона 1 г.Петропавловск-Камчатскийона </t>
  </si>
  <si>
    <t xml:space="preserve">2. Зона 2 г. Елизово, п.Светлый, п.Нагорный, п.Пионерский, п.Двуречье, п.Новый, п.Красный, п.Крутобереговый
</t>
  </si>
  <si>
    <t xml:space="preserve">3. Зона 3 р.п.Вулканный, п.Раздольный, с.Коряки
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</si>
  <si>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</si>
  <si>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</si>
  <si>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</si>
  <si>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</si>
  <si>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</si>
  <si>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</si>
  <si>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</si>
  <si>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</si>
  <si>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</si>
  <si>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</si>
  <si>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</si>
  <si>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</si>
  <si>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</si>
  <si>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</si>
  <si>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 xml:space="preserve">4. Зона 4 с.Николаевка, п.Сосновка, п.Зеленый, п.Юж. Коряки 
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</si>
  <si>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</si>
  <si>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</si>
  <si>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</si>
  <si>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</si>
  <si>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</si>
  <si>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</si>
  <si>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</si>
  <si>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</si>
  <si>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</si>
  <si>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</si>
  <si>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 xml:space="preserve">5. Зона 5 п.Термальный, с.Паратунка, п.Березняки, п.Лесной, п.Сев.Коряки, с.Пиначево, п.Кеткино
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</si>
  <si>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</si>
  <si>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</si>
  <si>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</si>
  <si>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</si>
  <si>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</si>
  <si>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</si>
  <si>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</si>
  <si>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</si>
  <si>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</si>
  <si>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</si>
  <si>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</si>
  <si>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</si>
  <si>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</si>
  <si>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</si>
  <si>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</si>
  <si>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6. Зона 6 п.Дальний, с.Малки, п.Сокоч, п.Начики</t>
  </si>
  <si>
    <t>6.1.</t>
  </si>
  <si>
    <t>6.2.</t>
  </si>
  <si>
    <t>6.3.</t>
  </si>
  <si>
    <t>6.4.</t>
  </si>
  <si>
    <t>6.5.</t>
  </si>
  <si>
    <t>6.6.</t>
  </si>
  <si>
    <t>6.7.</t>
  </si>
  <si>
    <t>6.8.</t>
  </si>
  <si>
    <t>7. Зона 7 с. Ганалы   (отсутствуют объекты общего имущества многоквартирного дома)</t>
  </si>
  <si>
    <t>8. Зона 8 с.Мильково, с.Пущино, с.Шаромы, с. Кирганик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</si>
  <si>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</si>
  <si>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</si>
  <si>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</si>
  <si>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</si>
  <si>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</si>
  <si>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</si>
  <si>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</si>
  <si>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</si>
  <si>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</si>
  <si>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</si>
  <si>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</si>
  <si>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</si>
  <si>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</si>
  <si>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</si>
  <si>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</si>
  <si>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8.16.</t>
  </si>
  <si>
    <t>8.17.</t>
  </si>
  <si>
    <t>9. Зона 9  п. Таежный, с. Долиновка</t>
  </si>
  <si>
    <t>9.1.</t>
  </si>
  <si>
    <t>10. Зона 10 п.Лазо, п.Атласово</t>
  </si>
  <si>
    <t>10.1.</t>
  </si>
  <si>
    <t>10.2.</t>
  </si>
  <si>
    <t>11. Зона 11 п.Козыревск, с.Майское</t>
  </si>
  <si>
    <t>11.1.</t>
  </si>
  <si>
    <t>11.2.</t>
  </si>
  <si>
    <t>11.3.</t>
  </si>
  <si>
    <t>12. Зона 12 п.Ключи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</si>
  <si>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</si>
  <si>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</si>
  <si>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</si>
  <si>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</si>
  <si>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</si>
  <si>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</si>
  <si>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</si>
  <si>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</si>
  <si>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</si>
  <si>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</si>
  <si>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</si>
  <si>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13. Зона 13 п.Усть-Камчатск, с.Крутоберегово</t>
  </si>
  <si>
    <t>13.1.</t>
  </si>
  <si>
    <t>13.2.</t>
  </si>
  <si>
    <t>13.3.</t>
  </si>
  <si>
    <t>14. Зона 14 с.Апача</t>
  </si>
  <si>
    <t>14.1.</t>
  </si>
  <si>
    <t>14.2.</t>
  </si>
  <si>
    <t>14.3.</t>
  </si>
  <si>
    <t>14.4.</t>
  </si>
  <si>
    <t>14.5.</t>
  </si>
  <si>
    <t>14.6.</t>
  </si>
  <si>
    <t xml:space="preserve">15. Зона 15 с.Усть-Большерецк, с.Кавалерское, с.Карымай </t>
  </si>
  <si>
    <t>15.1.</t>
  </si>
  <si>
    <t>15.2.</t>
  </si>
  <si>
    <t>15.3.</t>
  </si>
  <si>
    <t>15.4.</t>
  </si>
  <si>
    <t>15.5.</t>
  </si>
  <si>
    <t>15.6.</t>
  </si>
  <si>
    <t>15.7.</t>
  </si>
  <si>
    <t>15.8.</t>
  </si>
  <si>
    <t>15.9.</t>
  </si>
  <si>
    <t>15.10.</t>
  </si>
  <si>
    <t>16. Зона 16 п.Октябрьский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</si>
  <si>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</si>
  <si>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</si>
  <si>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</si>
  <si>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</si>
  <si>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</si>
  <si>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</si>
  <si>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</si>
  <si>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</si>
  <si>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17. Зона 17 п.Озерновский, п.Паужетка, с.Запорожье</t>
  </si>
  <si>
    <t>17.1.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</si>
  <si>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</si>
  <si>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</si>
  <si>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</si>
  <si>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</si>
  <si>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</si>
  <si>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</si>
  <si>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</si>
  <si>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</si>
  <si>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>18. Зона 18 с.Соболево, п.Крутогоровский, с. Устьевое, п.Ичинский</t>
  </si>
  <si>
    <t>18.1.</t>
  </si>
  <si>
    <t>18.2.</t>
  </si>
  <si>
    <t>18.3.</t>
  </si>
  <si>
    <t>19. Зона 19. г. Вилючинск</t>
  </si>
  <si>
    <t>19.1.</t>
  </si>
  <si>
    <t>19.2.</t>
  </si>
  <si>
    <t>19.3.</t>
  </si>
  <si>
    <t>19.4.</t>
  </si>
  <si>
    <t>19.5.</t>
  </si>
  <si>
    <t>19.6.</t>
  </si>
  <si>
    <t>19.7.</t>
  </si>
  <si>
    <t>19.8.</t>
  </si>
  <si>
    <t>19.9.</t>
  </si>
  <si>
    <t>19.10.</t>
  </si>
  <si>
    <t>19.11.</t>
  </si>
  <si>
    <t>20. Зона 20 с.Манилы, с.Каменское, с.Слаутное, с.Аянка, с. Таловка, с. Парень, с. Оклан</t>
  </si>
  <si>
    <t>20.1.</t>
  </si>
  <si>
    <t>21. Зона 21 с.Тиличики, с.Корф, с. Ачайваям, с. Хаилино, с. Пахачи, с. Средние Пахачи, с. Апука, с. Вывенка</t>
  </si>
  <si>
    <t>21.1.</t>
  </si>
  <si>
    <t>21.2.</t>
  </si>
  <si>
    <t>21.3.</t>
  </si>
  <si>
    <t>21.4.</t>
  </si>
  <si>
    <t>21.5.</t>
  </si>
  <si>
    <t>22. Зона 22 с.Оссора, с.Ивашка, с.Карага, с.Кострома, с.Тымлат, с. Ильпырское, с. Вывенка</t>
  </si>
  <si>
    <t>22.1.</t>
  </si>
  <si>
    <t>22.2.</t>
  </si>
  <si>
    <t>22.3.</t>
  </si>
  <si>
    <t>22.4.</t>
  </si>
  <si>
    <t>22.5.</t>
  </si>
  <si>
    <t>22.6.</t>
  </si>
  <si>
    <t>22.7.</t>
  </si>
  <si>
    <t>22.8.</t>
  </si>
  <si>
    <t>22.9.</t>
  </si>
  <si>
    <t>23. Зона 23 с. Никольское</t>
  </si>
  <si>
    <t>23.1.</t>
  </si>
  <si>
    <t>24. Зона 24 с.Усть-Харюзово, с.Тигиль, с.Воямполка, с. Седанка, с. Ковран, с. Харюзово</t>
  </si>
  <si>
    <t>24.1.</t>
  </si>
  <si>
    <t>24.2.</t>
  </si>
  <si>
    <t>24.3.</t>
  </si>
  <si>
    <t>24.4.</t>
  </si>
  <si>
    <t>24.5.</t>
  </si>
  <si>
    <t>24.6.</t>
  </si>
  <si>
    <t>24.7.</t>
  </si>
  <si>
    <t>25. Зона 25 п.Палана, с.Лесная</t>
  </si>
  <si>
    <t>25.1.</t>
  </si>
  <si>
    <t>25.2.</t>
  </si>
  <si>
    <t>25.3.</t>
  </si>
  <si>
    <t>25.4.</t>
  </si>
  <si>
    <t>25.5.</t>
  </si>
  <si>
    <t>25.6.</t>
  </si>
  <si>
    <t>25.7.</t>
  </si>
  <si>
    <t>25.8.</t>
  </si>
  <si>
    <t>26. Зона 26 с.Эссо, с.Анавгай</t>
  </si>
  <si>
    <t>26.1.</t>
  </si>
  <si>
    <t>26.2.</t>
  </si>
  <si>
    <t>* - внутридомовая инженерная система электроснабжения
** - внутридомовая инженерная система холодного водоснабжения
*** - внутридомовая инженерная система горячего водоснабжения
**** - проектная документация</t>
  </si>
  <si>
    <t>Приложение к постановлению Правительства Камчатского края                 от 05.03.2021 № 82-П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</si>
</sst>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[$-419]General"/>
    <numFmt numFmtId="168" formatCode="0.000"/>
    <numFmt numFmtId="169" formatCode="#,##0.00\ _₽"/>
    <numFmt numFmtId="170" formatCode="#0.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002060"/>
      <name val="Times New Roman"/>
      <family val="1"/>
      <charset val="204"/>
    </font>
    <font>
      <sz val="9"/>
      <color indexed="7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mbria"/>
      <family val="1"/>
      <charset val="204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167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165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22" applyNumberFormat="0" applyFill="0" applyAlignment="0" applyProtection="0"/>
    <xf numFmtId="0" fontId="14" fillId="0" borderId="23" applyNumberFormat="0" applyFill="0" applyAlignment="0" applyProtection="0"/>
    <xf numFmtId="0" fontId="15" fillId="0" borderId="24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25" applyNumberFormat="0" applyAlignment="0" applyProtection="0"/>
    <xf numFmtId="0" fontId="20" fillId="7" borderId="26" applyNumberFormat="0" applyAlignment="0" applyProtection="0"/>
    <xf numFmtId="0" fontId="21" fillId="7" borderId="25" applyNumberFormat="0" applyAlignment="0" applyProtection="0"/>
    <xf numFmtId="0" fontId="22" fillId="0" borderId="27" applyNumberFormat="0" applyFill="0" applyAlignment="0" applyProtection="0"/>
    <xf numFmtId="0" fontId="23" fillId="8" borderId="28" applyNumberFormat="0" applyAlignment="0" applyProtection="0"/>
    <xf numFmtId="0" fontId="24" fillId="0" borderId="0" applyNumberFormat="0" applyFill="0" applyBorder="0" applyAlignment="0" applyProtection="0"/>
    <xf numFmtId="0" fontId="1" fillId="9" borderId="29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30" applyNumberFormat="0" applyFill="0" applyAlignment="0" applyProtection="0"/>
    <xf numFmtId="0" fontId="2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33" borderId="0" applyNumberFormat="0" applyBorder="0" applyAlignment="0" applyProtection="0"/>
    <xf numFmtId="0" fontId="28" fillId="0" borderId="0"/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64">
    <xf numFmtId="0" fontId="0" fillId="0" borderId="0" xfId="0"/>
    <xf numFmtId="0" fontId="10" fillId="2" borderId="15" xfId="1" applyFont="1" applyFill="1" applyBorder="1" applyAlignment="1" applyProtection="1">
      <alignment horizontal="center" vertical="center"/>
      <protection locked="0"/>
    </xf>
    <xf numFmtId="0" fontId="10" fillId="2" borderId="15" xfId="1" applyFont="1" applyFill="1" applyBorder="1" applyAlignment="1" applyProtection="1">
      <alignment horizontal="center" vertical="center" wrapText="1"/>
      <protection locked="0"/>
    </xf>
    <xf numFmtId="0" fontId="10" fillId="2" borderId="61" xfId="1" applyFont="1" applyFill="1" applyBorder="1" applyAlignment="1" applyProtection="1">
      <alignment horizontal="center" vertical="center" wrapText="1"/>
      <protection locked="0"/>
    </xf>
    <xf numFmtId="2" fontId="10" fillId="2" borderId="60" xfId="1" applyNumberFormat="1" applyFont="1" applyFill="1" applyBorder="1" applyAlignment="1" applyProtection="1">
      <alignment horizontal="center" vertical="center" wrapText="1"/>
      <protection locked="0"/>
    </xf>
    <xf numFmtId="0" fontId="10" fillId="2" borderId="62" xfId="1" applyFont="1" applyFill="1" applyBorder="1" applyAlignment="1" applyProtection="1">
      <alignment horizontal="center" vertical="center"/>
      <protection locked="0"/>
    </xf>
    <xf numFmtId="2" fontId="3" fillId="2" borderId="20" xfId="1" applyNumberFormat="1" applyFont="1" applyFill="1" applyBorder="1" applyAlignment="1">
      <alignment horizontal="center" vertical="center"/>
    </xf>
    <xf numFmtId="4" fontId="3" fillId="2" borderId="11" xfId="1" applyNumberFormat="1" applyFont="1" applyFill="1" applyBorder="1" applyAlignment="1">
      <alignment horizontal="center" vertical="center"/>
    </xf>
    <xf numFmtId="4" fontId="3" fillId="2" borderId="50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9" xfId="1" applyNumberFormat="1" applyFont="1" applyFill="1" applyBorder="1" applyAlignment="1">
      <alignment horizontal="center" vertical="center"/>
    </xf>
    <xf numFmtId="169" fontId="3" fillId="2" borderId="9" xfId="1" applyNumberFormat="1" applyFont="1" applyFill="1" applyBorder="1" applyAlignment="1">
      <alignment horizontal="center" vertical="center"/>
    </xf>
    <xf numFmtId="2" fontId="3" fillId="2" borderId="52" xfId="1" applyNumberFormat="1" applyFont="1" applyFill="1" applyBorder="1" applyAlignment="1">
      <alignment horizontal="center" vertical="center" wrapText="1"/>
    </xf>
    <xf numFmtId="4" fontId="3" fillId="2" borderId="64" xfId="1" applyNumberFormat="1" applyFont="1" applyFill="1" applyBorder="1" applyAlignment="1">
      <alignment horizontal="center" vertical="center"/>
    </xf>
    <xf numFmtId="4" fontId="3" fillId="2" borderId="66" xfId="1" applyNumberFormat="1" applyFont="1" applyFill="1" applyBorder="1" applyAlignment="1">
      <alignment horizontal="center" vertical="center"/>
    </xf>
    <xf numFmtId="4" fontId="3" fillId="2" borderId="67" xfId="1" applyNumberFormat="1" applyFont="1" applyFill="1" applyBorder="1" applyAlignment="1">
      <alignment horizontal="center" vertical="center" wrapText="1"/>
    </xf>
    <xf numFmtId="4" fontId="3" fillId="2" borderId="58" xfId="1" applyNumberFormat="1" applyFont="1" applyFill="1" applyBorder="1" applyAlignment="1">
      <alignment horizontal="center" vertical="center"/>
    </xf>
    <xf numFmtId="4" fontId="3" fillId="2" borderId="37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55" xfId="1" applyNumberFormat="1" applyFont="1" applyFill="1" applyBorder="1" applyAlignment="1">
      <alignment horizontal="center" vertical="center" wrapText="1"/>
    </xf>
    <xf numFmtId="4" fontId="3" fillId="2" borderId="52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3" fillId="2" borderId="20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48" xfId="1" applyNumberFormat="1" applyFont="1" applyFill="1" applyBorder="1" applyAlignment="1">
      <alignment horizontal="center" vertical="center" wrapText="1"/>
    </xf>
    <xf numFmtId="4" fontId="3" fillId="2" borderId="35" xfId="1" applyNumberFormat="1" applyFont="1" applyFill="1" applyBorder="1" applyAlignment="1">
      <alignment horizontal="center" vertical="center"/>
    </xf>
    <xf numFmtId="4" fontId="3" fillId="2" borderId="35" xfId="1" applyNumberFormat="1" applyFont="1" applyFill="1" applyBorder="1" applyAlignment="1">
      <alignment horizontal="center" vertical="center" wrapText="1"/>
    </xf>
    <xf numFmtId="4" fontId="3" fillId="2" borderId="53" xfId="1" applyNumberFormat="1" applyFont="1" applyFill="1" applyBorder="1" applyAlignment="1">
      <alignment horizontal="center" vertical="center" wrapText="1"/>
    </xf>
    <xf numFmtId="4" fontId="3" fillId="2" borderId="55" xfId="1" applyNumberFormat="1" applyFont="1" applyFill="1" applyBorder="1" applyAlignment="1">
      <alignment horizontal="center" vertical="center"/>
    </xf>
    <xf numFmtId="4" fontId="3" fillId="2" borderId="67" xfId="1" applyNumberFormat="1" applyFont="1" applyFill="1" applyBorder="1" applyAlignment="1">
      <alignment horizontal="center" vertical="center"/>
    </xf>
    <xf numFmtId="4" fontId="3" fillId="2" borderId="58" xfId="1" applyNumberFormat="1" applyFont="1" applyFill="1" applyBorder="1" applyAlignment="1">
      <alignment horizontal="center" vertical="center" wrapText="1"/>
    </xf>
    <xf numFmtId="4" fontId="3" fillId="2" borderId="52" xfId="1" applyNumberFormat="1" applyFont="1" applyFill="1" applyBorder="1" applyAlignment="1">
      <alignment horizontal="center" vertical="center"/>
    </xf>
    <xf numFmtId="4" fontId="3" fillId="2" borderId="49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32" xfId="1" applyNumberFormat="1" applyFont="1" applyFill="1" applyBorder="1" applyAlignment="1">
      <alignment horizontal="center" vertical="center"/>
    </xf>
    <xf numFmtId="4" fontId="3" fillId="2" borderId="46" xfId="1" applyNumberFormat="1" applyFont="1" applyFill="1" applyBorder="1" applyAlignment="1">
      <alignment horizontal="center" vertical="center" wrapText="1"/>
    </xf>
    <xf numFmtId="4" fontId="3" fillId="2" borderId="13" xfId="1" applyNumberFormat="1" applyFont="1" applyFill="1" applyBorder="1" applyAlignment="1">
      <alignment horizontal="center" vertical="center"/>
    </xf>
    <xf numFmtId="4" fontId="3" fillId="2" borderId="31" xfId="1" applyNumberFormat="1" applyFont="1" applyFill="1" applyBorder="1" applyAlignment="1">
      <alignment horizontal="center" vertical="center"/>
    </xf>
    <xf numFmtId="4" fontId="3" fillId="2" borderId="48" xfId="1" applyNumberFormat="1" applyFont="1" applyFill="1" applyBorder="1" applyAlignment="1">
      <alignment horizontal="center" vertical="center"/>
    </xf>
    <xf numFmtId="4" fontId="3" fillId="2" borderId="49" xfId="1" applyNumberFormat="1" applyFont="1" applyFill="1" applyBorder="1" applyAlignment="1">
      <alignment horizontal="center" vertical="center"/>
    </xf>
    <xf numFmtId="4" fontId="3" fillId="2" borderId="47" xfId="1" applyNumberFormat="1" applyFont="1" applyFill="1" applyBorder="1" applyAlignment="1">
      <alignment horizontal="center" vertical="center" wrapText="1"/>
    </xf>
    <xf numFmtId="4" fontId="3" fillId="2" borderId="36" xfId="1" applyNumberFormat="1" applyFont="1" applyFill="1" applyBorder="1" applyAlignment="1">
      <alignment horizontal="center" vertical="center"/>
    </xf>
    <xf numFmtId="4" fontId="3" fillId="2" borderId="53" xfId="1" applyNumberFormat="1" applyFont="1" applyFill="1" applyBorder="1" applyAlignment="1">
      <alignment horizontal="center" vertical="center"/>
    </xf>
    <xf numFmtId="4" fontId="3" fillId="2" borderId="38" xfId="1" applyNumberFormat="1" applyFont="1" applyFill="1" applyBorder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166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65" fontId="10" fillId="2" borderId="0" xfId="54" applyFont="1" applyFill="1" applyBorder="1" applyAlignment="1">
      <alignment horizontal="center" vertical="center"/>
    </xf>
    <xf numFmtId="165" fontId="10" fillId="2" borderId="0" xfId="54" applyFont="1" applyFill="1" applyAlignment="1">
      <alignment horizontal="center" vertical="center"/>
    </xf>
    <xf numFmtId="165" fontId="31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5" fontId="31" fillId="2" borderId="0" xfId="1" applyNumberFormat="1" applyFont="1" applyFill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/>
    </xf>
    <xf numFmtId="2" fontId="3" fillId="2" borderId="48" xfId="1" applyNumberFormat="1" applyFont="1" applyFill="1" applyBorder="1" applyAlignment="1">
      <alignment horizontal="center" vertical="center" wrapText="1"/>
    </xf>
    <xf numFmtId="4" fontId="3" fillId="2" borderId="68" xfId="1" applyNumberFormat="1" applyFont="1" applyFill="1" applyBorder="1" applyAlignment="1">
      <alignment horizontal="center" vertical="center" wrapText="1"/>
    </xf>
    <xf numFmtId="4" fontId="3" fillId="2" borderId="68" xfId="1" applyNumberFormat="1" applyFont="1" applyFill="1" applyBorder="1" applyAlignment="1">
      <alignment horizontal="center" vertical="center"/>
    </xf>
    <xf numFmtId="4" fontId="3" fillId="2" borderId="41" xfId="1" applyNumberFormat="1" applyFont="1" applyFill="1" applyBorder="1" applyAlignment="1">
      <alignment horizontal="center" vertical="center"/>
    </xf>
    <xf numFmtId="4" fontId="3" fillId="2" borderId="37" xfId="1" applyNumberFormat="1" applyFont="1" applyFill="1" applyBorder="1" applyAlignment="1">
      <alignment horizontal="center" vertical="center" wrapText="1"/>
    </xf>
    <xf numFmtId="4" fontId="3" fillId="2" borderId="59" xfId="1" applyNumberFormat="1" applyFont="1" applyFill="1" applyBorder="1" applyAlignment="1">
      <alignment horizontal="center" vertical="center"/>
    </xf>
    <xf numFmtId="4" fontId="3" fillId="2" borderId="40" xfId="1" applyNumberFormat="1" applyFont="1" applyFill="1" applyBorder="1" applyAlignment="1">
      <alignment horizontal="center" vertical="center"/>
    </xf>
    <xf numFmtId="4" fontId="3" fillId="2" borderId="40" xfId="1" applyNumberFormat="1" applyFont="1" applyFill="1" applyBorder="1" applyAlignment="1">
      <alignment horizontal="center" vertical="center" wrapText="1"/>
    </xf>
    <xf numFmtId="4" fontId="3" fillId="2" borderId="71" xfId="1" applyNumberFormat="1" applyFont="1" applyFill="1" applyBorder="1" applyAlignment="1">
      <alignment horizontal="center" vertical="center" wrapText="1"/>
    </xf>
    <xf numFmtId="4" fontId="3" fillId="2" borderId="54" xfId="1" applyNumberFormat="1" applyFont="1" applyFill="1" applyBorder="1" applyAlignment="1">
      <alignment horizontal="center" vertical="center" wrapText="1"/>
    </xf>
    <xf numFmtId="4" fontId="3" fillId="2" borderId="4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4" fontId="3" fillId="2" borderId="11" xfId="1" applyNumberFormat="1" applyFont="1" applyFill="1" applyBorder="1" applyAlignment="1">
      <alignment horizontal="center" vertical="center" wrapText="1"/>
    </xf>
    <xf numFmtId="4" fontId="3" fillId="2" borderId="32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55" xfId="1" quotePrefix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3" fillId="2" borderId="73" xfId="1" applyNumberFormat="1" applyFont="1" applyFill="1" applyBorder="1" applyAlignment="1">
      <alignment horizontal="center" vertical="center"/>
    </xf>
    <xf numFmtId="4" fontId="3" fillId="2" borderId="63" xfId="1" applyNumberFormat="1" applyFont="1" applyFill="1" applyBorder="1" applyAlignment="1">
      <alignment horizontal="center" vertical="center" wrapText="1"/>
    </xf>
    <xf numFmtId="4" fontId="3" fillId="2" borderId="5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55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4" fontId="3" fillId="2" borderId="67" xfId="0" applyNumberFormat="1" applyFont="1" applyFill="1" applyBorder="1" applyAlignment="1">
      <alignment horizontal="center" vertical="center" wrapText="1"/>
    </xf>
    <xf numFmtId="4" fontId="3" fillId="2" borderId="50" xfId="1" applyNumberFormat="1" applyFont="1" applyFill="1" applyBorder="1" applyAlignment="1">
      <alignment horizontal="center" vertical="center"/>
    </xf>
    <xf numFmtId="4" fontId="3" fillId="2" borderId="42" xfId="1" applyNumberFormat="1" applyFont="1" applyFill="1" applyBorder="1" applyAlignment="1">
      <alignment horizontal="center" vertical="center"/>
    </xf>
    <xf numFmtId="4" fontId="3" fillId="2" borderId="39" xfId="1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33" xfId="1" applyNumberFormat="1" applyFont="1" applyFill="1" applyBorder="1" applyAlignment="1">
      <alignment horizontal="center" vertical="center"/>
    </xf>
    <xf numFmtId="169" fontId="3" fillId="2" borderId="1" xfId="1" applyNumberFormat="1" applyFont="1" applyFill="1" applyBorder="1" applyAlignment="1">
      <alignment horizontal="center" vertical="center"/>
    </xf>
    <xf numFmtId="169" fontId="3" fillId="2" borderId="55" xfId="1" applyNumberFormat="1" applyFont="1" applyFill="1" applyBorder="1" applyAlignment="1">
      <alignment horizontal="center" vertical="center" wrapText="1"/>
    </xf>
    <xf numFmtId="169" fontId="3" fillId="2" borderId="48" xfId="1" applyNumberFormat="1" applyFont="1" applyFill="1" applyBorder="1" applyAlignment="1">
      <alignment horizontal="center" vertical="center" wrapText="1"/>
    </xf>
    <xf numFmtId="169" fontId="3" fillId="2" borderId="58" xfId="1" applyNumberFormat="1" applyFont="1" applyFill="1" applyBorder="1" applyAlignment="1">
      <alignment horizontal="center" vertical="center"/>
    </xf>
    <xf numFmtId="169" fontId="3" fillId="2" borderId="67" xfId="1" applyNumberFormat="1" applyFont="1" applyFill="1" applyBorder="1" applyAlignment="1">
      <alignment horizontal="center" vertical="center" wrapText="1"/>
    </xf>
    <xf numFmtId="169" fontId="3" fillId="2" borderId="3" xfId="1" applyNumberFormat="1" applyFont="1" applyFill="1" applyBorder="1" applyAlignment="1">
      <alignment horizontal="center" vertical="center"/>
    </xf>
    <xf numFmtId="169" fontId="3" fillId="2" borderId="3" xfId="1" applyNumberFormat="1" applyFont="1" applyFill="1" applyBorder="1" applyAlignment="1">
      <alignment horizontal="center" vertical="center" wrapText="1"/>
    </xf>
    <xf numFmtId="169" fontId="3" fillId="2" borderId="49" xfId="1" applyNumberFormat="1" applyFont="1" applyFill="1" applyBorder="1" applyAlignment="1">
      <alignment horizontal="center" vertical="center" wrapText="1"/>
    </xf>
    <xf numFmtId="169" fontId="3" fillId="2" borderId="46" xfId="1" applyNumberFormat="1" applyFont="1" applyFill="1" applyBorder="1" applyAlignment="1">
      <alignment horizontal="center" vertical="center" wrapText="1"/>
    </xf>
    <xf numFmtId="169" fontId="3" fillId="2" borderId="20" xfId="1" applyNumberFormat="1" applyFont="1" applyFill="1" applyBorder="1" applyAlignment="1">
      <alignment horizontal="center" vertical="center"/>
    </xf>
    <xf numFmtId="169" fontId="3" fillId="2" borderId="52" xfId="1" applyNumberFormat="1" applyFont="1" applyFill="1" applyBorder="1" applyAlignment="1">
      <alignment horizontal="center" vertical="center" wrapText="1"/>
    </xf>
    <xf numFmtId="169" fontId="3" fillId="2" borderId="2" xfId="1" applyNumberFormat="1" applyFont="1" applyFill="1" applyBorder="1" applyAlignment="1">
      <alignment horizontal="center" vertical="center"/>
    </xf>
    <xf numFmtId="4" fontId="3" fillId="34" borderId="9" xfId="0" applyNumberFormat="1" applyFont="1" applyFill="1" applyBorder="1" applyAlignment="1">
      <alignment horizontal="center" vertical="center"/>
    </xf>
    <xf numFmtId="4" fontId="3" fillId="2" borderId="56" xfId="1" applyNumberFormat="1" applyFont="1" applyFill="1" applyBorder="1" applyAlignment="1">
      <alignment horizontal="center" vertical="center" wrapText="1"/>
    </xf>
    <xf numFmtId="4" fontId="3" fillId="2" borderId="72" xfId="1" applyNumberFormat="1" applyFont="1" applyFill="1" applyBorder="1" applyAlignment="1">
      <alignment horizontal="center" vertical="center" wrapText="1"/>
    </xf>
    <xf numFmtId="4" fontId="3" fillId="2" borderId="45" xfId="1" applyNumberFormat="1" applyFont="1" applyFill="1" applyBorder="1" applyAlignment="1">
      <alignment horizontal="center" vertical="center"/>
    </xf>
    <xf numFmtId="4" fontId="3" fillId="2" borderId="45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43" xfId="1" applyNumberFormat="1" applyFont="1" applyFill="1" applyBorder="1" applyAlignment="1">
      <alignment horizontal="center" vertical="center"/>
    </xf>
    <xf numFmtId="4" fontId="3" fillId="2" borderId="44" xfId="1" applyNumberFormat="1" applyFont="1" applyFill="1" applyBorder="1" applyAlignment="1">
      <alignment horizontal="center" vertical="center" wrapText="1"/>
    </xf>
    <xf numFmtId="4" fontId="3" fillId="2" borderId="43" xfId="1" applyNumberFormat="1" applyFont="1" applyFill="1" applyBorder="1" applyAlignment="1">
      <alignment horizontal="center" vertical="center" wrapText="1"/>
    </xf>
    <xf numFmtId="2" fontId="3" fillId="2" borderId="58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4" fontId="38" fillId="2" borderId="55" xfId="1" applyNumberFormat="1" applyFont="1" applyFill="1" applyBorder="1" applyAlignment="1">
      <alignment horizontal="center" vertical="center" wrapText="1"/>
    </xf>
    <xf numFmtId="4" fontId="38" fillId="2" borderId="67" xfId="1" applyNumberFormat="1" applyFont="1" applyFill="1" applyBorder="1" applyAlignment="1">
      <alignment horizontal="center" vertical="center" wrapText="1"/>
    </xf>
    <xf numFmtId="4" fontId="38" fillId="2" borderId="49" xfId="1" applyNumberFormat="1" applyFont="1" applyFill="1" applyBorder="1" applyAlignment="1">
      <alignment horizontal="center" vertical="center" wrapText="1"/>
    </xf>
    <xf numFmtId="4" fontId="38" fillId="2" borderId="46" xfId="1" applyNumberFormat="1" applyFont="1" applyFill="1" applyBorder="1" applyAlignment="1">
      <alignment horizontal="center" vertical="center" wrapText="1"/>
    </xf>
    <xf numFmtId="4" fontId="3" fillId="2" borderId="41" xfId="1" applyNumberFormat="1" applyFont="1" applyFill="1" applyBorder="1" applyAlignment="1">
      <alignment horizontal="center" vertical="center" wrapText="1"/>
    </xf>
    <xf numFmtId="4" fontId="3" fillId="2" borderId="32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4" fontId="10" fillId="2" borderId="55" xfId="1" applyNumberFormat="1" applyFont="1" applyFill="1" applyBorder="1" applyAlignment="1">
      <alignment horizontal="center" vertical="center" wrapText="1"/>
    </xf>
    <xf numFmtId="4" fontId="10" fillId="2" borderId="48" xfId="1" applyNumberFormat="1" applyFont="1" applyFill="1" applyBorder="1" applyAlignment="1">
      <alignment horizontal="center" vertical="center" wrapText="1"/>
    </xf>
    <xf numFmtId="4" fontId="10" fillId="2" borderId="67" xfId="1" applyNumberFormat="1" applyFont="1" applyFill="1" applyBorder="1" applyAlignment="1">
      <alignment horizontal="center" vertical="center" wrapText="1"/>
    </xf>
    <xf numFmtId="4" fontId="10" fillId="2" borderId="68" xfId="1" applyNumberFormat="1" applyFont="1" applyFill="1" applyBorder="1" applyAlignment="1">
      <alignment horizontal="center" vertical="center" wrapText="1"/>
    </xf>
    <xf numFmtId="4" fontId="10" fillId="2" borderId="49" xfId="1" applyNumberFormat="1" applyFont="1" applyFill="1" applyBorder="1" applyAlignment="1">
      <alignment horizontal="center" vertical="center" wrapText="1"/>
    </xf>
    <xf numFmtId="4" fontId="10" fillId="2" borderId="46" xfId="1" applyNumberFormat="1" applyFont="1" applyFill="1" applyBorder="1" applyAlignment="1">
      <alignment horizontal="center" vertical="center" wrapText="1"/>
    </xf>
    <xf numFmtId="4" fontId="10" fillId="2" borderId="52" xfId="1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70" fontId="39" fillId="2" borderId="74" xfId="0" applyNumberFormat="1" applyFont="1" applyFill="1" applyBorder="1" applyAlignment="1" applyProtection="1">
      <alignment horizontal="center" vertical="center" wrapText="1"/>
    </xf>
    <xf numFmtId="2" fontId="3" fillId="2" borderId="55" xfId="1" applyNumberFormat="1" applyFont="1" applyFill="1" applyBorder="1" applyAlignment="1">
      <alignment horizontal="center" vertical="center" wrapText="1"/>
    </xf>
    <xf numFmtId="2" fontId="3" fillId="2" borderId="50" xfId="1" applyNumberFormat="1" applyFont="1" applyFill="1" applyBorder="1" applyAlignment="1">
      <alignment horizontal="center" vertical="center" wrapText="1"/>
    </xf>
    <xf numFmtId="4" fontId="3" fillId="2" borderId="65" xfId="1" applyNumberFormat="1" applyFont="1" applyFill="1" applyBorder="1" applyAlignment="1">
      <alignment horizontal="center" vertical="center"/>
    </xf>
    <xf numFmtId="4" fontId="3" fillId="2" borderId="58" xfId="1" quotePrefix="1" applyNumberFormat="1" applyFont="1" applyFill="1" applyBorder="1" applyAlignment="1">
      <alignment horizontal="center" vertical="center"/>
    </xf>
    <xf numFmtId="2" fontId="3" fillId="2" borderId="67" xfId="1" applyNumberFormat="1" applyFont="1" applyFill="1" applyBorder="1" applyAlignment="1">
      <alignment horizontal="center" vertical="center" wrapText="1"/>
    </xf>
    <xf numFmtId="2" fontId="10" fillId="2" borderId="55" xfId="1" applyNumberFormat="1" applyFont="1" applyFill="1" applyBorder="1" applyAlignment="1">
      <alignment horizontal="center" vertical="center" wrapText="1"/>
    </xf>
    <xf numFmtId="2" fontId="10" fillId="2" borderId="49" xfId="1" applyNumberFormat="1" applyFont="1" applyFill="1" applyBorder="1" applyAlignment="1">
      <alignment horizontal="center" vertical="center" wrapText="1"/>
    </xf>
    <xf numFmtId="4" fontId="10" fillId="2" borderId="3" xfId="1" applyNumberFormat="1" applyFont="1" applyFill="1" applyBorder="1" applyAlignment="1">
      <alignment horizontal="center" vertical="center"/>
    </xf>
    <xf numFmtId="4" fontId="10" fillId="2" borderId="33" xfId="1" applyNumberFormat="1" applyFont="1" applyFill="1" applyBorder="1" applyAlignment="1">
      <alignment horizontal="center" vertical="center"/>
    </xf>
    <xf numFmtId="4" fontId="3" fillId="2" borderId="3" xfId="1" quotePrefix="1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0" fontId="31" fillId="2" borderId="0" xfId="0" applyFont="1" applyFill="1"/>
    <xf numFmtId="0" fontId="11" fillId="2" borderId="0" xfId="0" applyFont="1" applyFill="1"/>
    <xf numFmtId="0" fontId="32" fillId="2" borderId="0" xfId="0" applyFont="1" applyFill="1"/>
    <xf numFmtId="0" fontId="33" fillId="2" borderId="0" xfId="0" applyFont="1" applyFill="1"/>
    <xf numFmtId="0" fontId="11" fillId="2" borderId="0" xfId="0" applyFont="1" applyFill="1" applyAlignment="1">
      <alignment horizontal="left"/>
    </xf>
    <xf numFmtId="0" fontId="34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5" fillId="2" borderId="0" xfId="0" applyFont="1" applyFill="1"/>
    <xf numFmtId="4" fontId="3" fillId="2" borderId="20" xfId="1" applyNumberFormat="1" applyFont="1" applyFill="1" applyBorder="1" applyAlignment="1">
      <alignment horizontal="center" vertical="center" wrapText="1"/>
    </xf>
    <xf numFmtId="4" fontId="3" fillId="2" borderId="75" xfId="1" applyNumberFormat="1" applyFont="1" applyFill="1" applyBorder="1" applyAlignment="1">
      <alignment horizontal="center" vertical="center"/>
    </xf>
    <xf numFmtId="4" fontId="3" fillId="2" borderId="75" xfId="1" applyNumberFormat="1" applyFont="1" applyFill="1" applyBorder="1" applyAlignment="1">
      <alignment horizontal="center" vertical="center" wrapText="1"/>
    </xf>
    <xf numFmtId="4" fontId="3" fillId="2" borderId="76" xfId="1" applyNumberFormat="1" applyFont="1" applyFill="1" applyBorder="1" applyAlignment="1">
      <alignment horizontal="center" vertical="center" wrapText="1"/>
    </xf>
    <xf numFmtId="4" fontId="3" fillId="2" borderId="78" xfId="1" applyNumberFormat="1" applyFont="1" applyFill="1" applyBorder="1" applyAlignment="1">
      <alignment horizontal="center" vertical="center"/>
    </xf>
    <xf numFmtId="4" fontId="3" fillId="2" borderId="79" xfId="1" applyNumberFormat="1" applyFont="1" applyFill="1" applyBorder="1" applyAlignment="1">
      <alignment horizontal="center" vertical="center"/>
    </xf>
    <xf numFmtId="4" fontId="3" fillId="2" borderId="42" xfId="1" applyNumberFormat="1" applyFont="1" applyFill="1" applyBorder="1" applyAlignment="1">
      <alignment horizontal="center" vertical="center" wrapText="1"/>
    </xf>
    <xf numFmtId="4" fontId="3" fillId="2" borderId="49" xfId="1" quotePrefix="1" applyNumberFormat="1" applyFont="1" applyFill="1" applyBorder="1" applyAlignment="1">
      <alignment horizontal="center" vertical="center" wrapText="1"/>
    </xf>
    <xf numFmtId="4" fontId="10" fillId="2" borderId="41" xfId="1" applyNumberFormat="1" applyFont="1" applyFill="1" applyBorder="1" applyAlignment="1">
      <alignment horizontal="center" vertical="center"/>
    </xf>
    <xf numFmtId="0" fontId="10" fillId="2" borderId="57" xfId="1" applyFont="1" applyFill="1" applyBorder="1" applyAlignment="1" applyProtection="1">
      <alignment horizontal="center" vertical="center" wrapText="1"/>
      <protection locked="0"/>
    </xf>
    <xf numFmtId="4" fontId="10" fillId="2" borderId="0" xfId="1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center" vertical="center" wrapText="1"/>
    </xf>
    <xf numFmtId="4" fontId="38" fillId="2" borderId="50" xfId="1" applyNumberFormat="1" applyFont="1" applyFill="1" applyBorder="1" applyAlignment="1">
      <alignment horizontal="center" vertical="center" wrapText="1"/>
    </xf>
    <xf numFmtId="4" fontId="3" fillId="0" borderId="32" xfId="1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40" fillId="2" borderId="0" xfId="0" applyFont="1" applyFill="1" applyBorder="1" applyAlignment="1" applyProtection="1">
      <alignment horizontal="center" vertical="center"/>
      <protection locked="0"/>
    </xf>
    <xf numFmtId="0" fontId="41" fillId="2" borderId="0" xfId="0" applyFont="1" applyFill="1" applyBorder="1" applyAlignment="1" applyProtection="1">
      <alignment horizontal="center" vertical="center"/>
      <protection locked="0"/>
    </xf>
    <xf numFmtId="168" fontId="41" fillId="2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 vertical="center"/>
    </xf>
    <xf numFmtId="0" fontId="42" fillId="0" borderId="0" xfId="0" applyFont="1" applyAlignment="1"/>
    <xf numFmtId="0" fontId="29" fillId="0" borderId="0" xfId="0" applyFont="1" applyAlignment="1"/>
    <xf numFmtId="0" fontId="43" fillId="0" borderId="0" xfId="0" applyFont="1" applyAlignment="1">
      <alignment horizontal="center" shrinkToFit="1"/>
    </xf>
    <xf numFmtId="9" fontId="3" fillId="0" borderId="8" xfId="1" applyNumberFormat="1" applyFont="1" applyFill="1" applyBorder="1" applyAlignment="1">
      <alignment horizontal="center" vertical="center" textRotation="90" wrapText="1"/>
    </xf>
    <xf numFmtId="9" fontId="10" fillId="0" borderId="4" xfId="1" applyNumberFormat="1" applyFont="1" applyFill="1" applyBorder="1" applyAlignment="1">
      <alignment horizontal="center" vertical="center" textRotation="90" wrapText="1"/>
    </xf>
    <xf numFmtId="9" fontId="3" fillId="0" borderId="46" xfId="1" applyNumberFormat="1" applyFont="1" applyFill="1" applyBorder="1" applyAlignment="1">
      <alignment horizontal="center" vertical="center" textRotation="90" wrapText="1"/>
    </xf>
    <xf numFmtId="9" fontId="3" fillId="0" borderId="15" xfId="1" applyNumberFormat="1" applyFont="1" applyFill="1" applyBorder="1" applyAlignment="1">
      <alignment horizontal="center" vertical="center" textRotation="90" wrapText="1"/>
    </xf>
    <xf numFmtId="9" fontId="31" fillId="0" borderId="15" xfId="1" applyNumberFormat="1" applyFont="1" applyFill="1" applyBorder="1" applyAlignment="1">
      <alignment horizontal="center" vertical="center" textRotation="90" wrapText="1"/>
    </xf>
    <xf numFmtId="9" fontId="3" fillId="0" borderId="17" xfId="1" applyNumberFormat="1" applyFont="1" applyFill="1" applyBorder="1" applyAlignment="1">
      <alignment horizontal="center" vertical="center" textRotation="90" wrapText="1"/>
    </xf>
    <xf numFmtId="9" fontId="3" fillId="0" borderId="33" xfId="1" applyNumberFormat="1" applyFont="1" applyFill="1" applyBorder="1" applyAlignment="1">
      <alignment horizontal="center" vertical="center" textRotation="90" wrapText="1"/>
    </xf>
    <xf numFmtId="9" fontId="3" fillId="0" borderId="34" xfId="1" applyNumberFormat="1" applyFont="1" applyFill="1" applyBorder="1" applyAlignment="1">
      <alignment horizontal="center" vertical="center" textRotation="90" wrapText="1"/>
    </xf>
    <xf numFmtId="9" fontId="10" fillId="0" borderId="15" xfId="1" applyNumberFormat="1" applyFont="1" applyFill="1" applyBorder="1" applyAlignment="1">
      <alignment horizontal="center" vertical="center" textRotation="90" wrapText="1"/>
    </xf>
    <xf numFmtId="0" fontId="3" fillId="0" borderId="15" xfId="1" applyFont="1" applyFill="1" applyBorder="1" applyAlignment="1">
      <alignment horizontal="center" vertical="center" textRotation="90" wrapText="1"/>
    </xf>
    <xf numFmtId="0" fontId="30" fillId="0" borderId="18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49" fontId="9" fillId="0" borderId="61" xfId="0" applyNumberFormat="1" applyFont="1" applyFill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44" fillId="0" borderId="80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44" fillId="0" borderId="72" xfId="0" applyFont="1" applyBorder="1" applyAlignment="1">
      <alignment horizontal="center" vertical="center"/>
    </xf>
    <xf numFmtId="49" fontId="9" fillId="0" borderId="57" xfId="0" applyNumberFormat="1" applyFont="1" applyFill="1" applyBorder="1" applyAlignment="1">
      <alignment horizontal="center" vertical="center"/>
    </xf>
    <xf numFmtId="49" fontId="9" fillId="0" borderId="60" xfId="0" applyNumberFormat="1" applyFont="1" applyFill="1" applyBorder="1" applyAlignment="1">
      <alignment horizontal="center" vertical="center"/>
    </xf>
    <xf numFmtId="0" fontId="44" fillId="0" borderId="86" xfId="0" applyFont="1" applyBorder="1" applyAlignment="1">
      <alignment horizontal="center" vertical="center"/>
    </xf>
    <xf numFmtId="0" fontId="44" fillId="0" borderId="89" xfId="0" applyFont="1" applyBorder="1" applyAlignment="1">
      <alignment horizontal="center" vertical="center"/>
    </xf>
    <xf numFmtId="0" fontId="44" fillId="0" borderId="90" xfId="0" applyFont="1" applyBorder="1" applyAlignment="1">
      <alignment horizontal="center" vertical="center"/>
    </xf>
    <xf numFmtId="49" fontId="45" fillId="0" borderId="65" xfId="0" applyNumberFormat="1" applyFont="1" applyFill="1" applyBorder="1" applyAlignment="1">
      <alignment horizontal="center" vertical="center"/>
    </xf>
    <xf numFmtId="49" fontId="45" fillId="0" borderId="85" xfId="0" applyNumberFormat="1" applyFont="1" applyFill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44" fillId="0" borderId="93" xfId="0" applyFont="1" applyBorder="1" applyAlignment="1">
      <alignment horizontal="center" vertical="center"/>
    </xf>
    <xf numFmtId="49" fontId="45" fillId="0" borderId="57" xfId="0" applyNumberFormat="1" applyFont="1" applyFill="1" applyBorder="1" applyAlignment="1">
      <alignment horizontal="center" vertical="center"/>
    </xf>
    <xf numFmtId="0" fontId="45" fillId="0" borderId="57" xfId="0" applyFont="1" applyFill="1" applyBorder="1" applyAlignment="1">
      <alignment horizontal="center" vertical="center"/>
    </xf>
    <xf numFmtId="49" fontId="9" fillId="0" borderId="62" xfId="0" applyNumberFormat="1" applyFont="1" applyFill="1" applyBorder="1" applyAlignment="1">
      <alignment horizontal="center" vertical="center"/>
    </xf>
    <xf numFmtId="49" fontId="45" fillId="0" borderId="61" xfId="0" applyNumberFormat="1" applyFont="1" applyFill="1" applyBorder="1" applyAlignment="1">
      <alignment horizontal="center" vertical="center"/>
    </xf>
    <xf numFmtId="49" fontId="45" fillId="0" borderId="80" xfId="0" applyNumberFormat="1" applyFont="1" applyFill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45" fillId="0" borderId="61" xfId="0" applyNumberFormat="1" applyFont="1" applyBorder="1" applyAlignment="1">
      <alignment horizontal="center" vertical="center"/>
    </xf>
    <xf numFmtId="49" fontId="45" fillId="0" borderId="81" xfId="0" applyNumberFormat="1" applyFont="1" applyBorder="1" applyAlignment="1">
      <alignment horizontal="center" vertical="center"/>
    </xf>
    <xf numFmtId="49" fontId="45" fillId="0" borderId="82" xfId="0" applyNumberFormat="1" applyFont="1" applyBorder="1" applyAlignment="1">
      <alignment horizontal="center" vertical="center"/>
    </xf>
    <xf numFmtId="49" fontId="45" fillId="0" borderId="82" xfId="0" applyNumberFormat="1" applyFont="1" applyFill="1" applyBorder="1" applyAlignment="1">
      <alignment horizontal="center" vertical="center"/>
    </xf>
    <xf numFmtId="49" fontId="45" fillId="0" borderId="16" xfId="0" applyNumberFormat="1" applyFont="1" applyFill="1" applyBorder="1" applyAlignment="1">
      <alignment horizontal="center" vertical="center"/>
    </xf>
    <xf numFmtId="49" fontId="45" fillId="0" borderId="72" xfId="0" applyNumberFormat="1" applyFont="1" applyFill="1" applyBorder="1" applyAlignment="1">
      <alignment horizontal="center" vertical="center"/>
    </xf>
    <xf numFmtId="49" fontId="45" fillId="0" borderId="62" xfId="0" applyNumberFormat="1" applyFont="1" applyBorder="1" applyAlignment="1">
      <alignment horizontal="center" vertical="center"/>
    </xf>
    <xf numFmtId="49" fontId="45" fillId="0" borderId="57" xfId="0" applyNumberFormat="1" applyFont="1" applyBorder="1" applyAlignment="1">
      <alignment horizontal="center" vertical="center"/>
    </xf>
    <xf numFmtId="49" fontId="45" fillId="0" borderId="19" xfId="0" applyNumberFormat="1" applyFont="1" applyBorder="1" applyAlignment="1">
      <alignment horizontal="center" vertical="center"/>
    </xf>
    <xf numFmtId="49" fontId="45" fillId="0" borderId="70" xfId="0" applyNumberFormat="1" applyFont="1" applyBorder="1" applyAlignment="1">
      <alignment horizontal="center" vertical="center"/>
    </xf>
    <xf numFmtId="49" fontId="45" fillId="0" borderId="83" xfId="0" applyNumberFormat="1" applyFont="1" applyBorder="1" applyAlignment="1">
      <alignment horizontal="center" vertical="center"/>
    </xf>
    <xf numFmtId="49" fontId="45" fillId="0" borderId="0" xfId="0" applyNumberFormat="1" applyFont="1" applyBorder="1" applyAlignment="1">
      <alignment horizontal="center" vertical="center"/>
    </xf>
    <xf numFmtId="49" fontId="45" fillId="0" borderId="72" xfId="0" applyNumberFormat="1" applyFont="1" applyBorder="1" applyAlignment="1">
      <alignment horizontal="center" vertical="center"/>
    </xf>
    <xf numFmtId="49" fontId="45" fillId="0" borderId="19" xfId="0" applyNumberFormat="1" applyFont="1" applyFill="1" applyBorder="1" applyAlignment="1">
      <alignment horizontal="center" vertical="center"/>
    </xf>
    <xf numFmtId="49" fontId="45" fillId="0" borderId="56" xfId="0" applyNumberFormat="1" applyFont="1" applyFill="1" applyBorder="1" applyAlignment="1">
      <alignment horizontal="center" vertical="center"/>
    </xf>
    <xf numFmtId="49" fontId="45" fillId="0" borderId="62" xfId="0" applyNumberFormat="1" applyFont="1" applyFill="1" applyBorder="1" applyAlignment="1">
      <alignment horizontal="center" vertical="center"/>
    </xf>
    <xf numFmtId="49" fontId="45" fillId="0" borderId="84" xfId="0" applyNumberFormat="1" applyFont="1" applyBorder="1" applyAlignment="1">
      <alignment horizontal="center" vertical="center"/>
    </xf>
    <xf numFmtId="49" fontId="45" fillId="0" borderId="56" xfId="0" applyNumberFormat="1" applyFont="1" applyBorder="1" applyAlignment="1">
      <alignment horizontal="center" vertical="center"/>
    </xf>
    <xf numFmtId="49" fontId="45" fillId="0" borderId="0" xfId="0" applyNumberFormat="1" applyFont="1" applyFill="1" applyBorder="1" applyAlignment="1">
      <alignment horizontal="center" vertical="center"/>
    </xf>
    <xf numFmtId="17" fontId="7" fillId="0" borderId="60" xfId="0" applyNumberFormat="1" applyFont="1" applyBorder="1" applyAlignment="1">
      <alignment horizontal="center" vertical="center"/>
    </xf>
    <xf numFmtId="49" fontId="45" fillId="0" borderId="86" xfId="0" applyNumberFormat="1" applyFont="1" applyFill="1" applyBorder="1" applyAlignment="1">
      <alignment horizontal="center" vertical="center"/>
    </xf>
    <xf numFmtId="49" fontId="45" fillId="0" borderId="60" xfId="0" applyNumberFormat="1" applyFont="1" applyFill="1" applyBorder="1" applyAlignment="1">
      <alignment horizontal="center" vertical="center"/>
    </xf>
    <xf numFmtId="49" fontId="45" fillId="0" borderId="60" xfId="0" applyNumberFormat="1" applyFont="1" applyBorder="1" applyAlignment="1">
      <alignment horizontal="center" vertical="center"/>
    </xf>
    <xf numFmtId="49" fontId="45" fillId="0" borderId="87" xfId="0" applyNumberFormat="1" applyFont="1" applyFill="1" applyBorder="1" applyAlignment="1">
      <alignment horizontal="center" vertical="center"/>
    </xf>
    <xf numFmtId="49" fontId="45" fillId="0" borderId="86" xfId="0" applyNumberFormat="1" applyFont="1" applyBorder="1" applyAlignment="1">
      <alignment horizontal="center" vertical="center"/>
    </xf>
    <xf numFmtId="49" fontId="45" fillId="0" borderId="88" xfId="0" applyNumberFormat="1" applyFont="1" applyFill="1" applyBorder="1" applyAlignment="1">
      <alignment horizontal="center" vertical="center"/>
    </xf>
    <xf numFmtId="49" fontId="45" fillId="0" borderId="81" xfId="0" applyNumberFormat="1" applyFont="1" applyFill="1" applyBorder="1" applyAlignment="1">
      <alignment horizontal="center" vertical="center"/>
    </xf>
    <xf numFmtId="49" fontId="45" fillId="0" borderId="89" xfId="0" applyNumberFormat="1" applyFont="1" applyFill="1" applyBorder="1" applyAlignment="1">
      <alignment horizontal="center" vertical="center"/>
    </xf>
    <xf numFmtId="49" fontId="45" fillId="0" borderId="92" xfId="0" applyNumberFormat="1" applyFont="1" applyFill="1" applyBorder="1" applyAlignment="1">
      <alignment horizontal="center" vertical="center"/>
    </xf>
    <xf numFmtId="49" fontId="45" fillId="0" borderId="88" xfId="0" applyNumberFormat="1" applyFont="1" applyBorder="1" applyAlignment="1">
      <alignment horizontal="center" vertical="center"/>
    </xf>
    <xf numFmtId="49" fontId="45" fillId="0" borderId="84" xfId="0" applyNumberFormat="1" applyFont="1" applyFill="1" applyBorder="1" applyAlignment="1">
      <alignment horizontal="center" vertical="center"/>
    </xf>
    <xf numFmtId="49" fontId="45" fillId="0" borderId="70" xfId="0" applyNumberFormat="1" applyFont="1" applyFill="1" applyBorder="1" applyAlignment="1">
      <alignment horizontal="center" vertical="center"/>
    </xf>
    <xf numFmtId="49" fontId="45" fillId="0" borderId="85" xfId="0" applyNumberFormat="1" applyFont="1" applyBorder="1" applyAlignment="1">
      <alignment horizontal="center" vertical="center"/>
    </xf>
    <xf numFmtId="49" fontId="45" fillId="0" borderId="94" xfId="0" applyNumberFormat="1" applyFont="1" applyFill="1" applyBorder="1" applyAlignment="1">
      <alignment horizontal="center" vertical="center"/>
    </xf>
    <xf numFmtId="49" fontId="45" fillId="0" borderId="18" xfId="0" applyNumberFormat="1" applyFont="1" applyFill="1" applyBorder="1" applyAlignment="1">
      <alignment horizontal="center" vertical="center"/>
    </xf>
    <xf numFmtId="49" fontId="45" fillId="0" borderId="12" xfId="0" applyNumberFormat="1" applyFont="1" applyFill="1" applyBorder="1" applyAlignment="1">
      <alignment horizontal="center" vertical="center"/>
    </xf>
    <xf numFmtId="49" fontId="45" fillId="0" borderId="95" xfId="0" applyNumberFormat="1" applyFont="1" applyFill="1" applyBorder="1" applyAlignment="1">
      <alignment horizontal="center" vertical="center"/>
    </xf>
    <xf numFmtId="49" fontId="45" fillId="0" borderId="18" xfId="0" applyNumberFormat="1" applyFont="1" applyBorder="1" applyAlignment="1">
      <alignment horizontal="center" vertical="center"/>
    </xf>
    <xf numFmtId="49" fontId="45" fillId="0" borderId="94" xfId="0" applyNumberFormat="1" applyFont="1" applyBorder="1" applyAlignment="1">
      <alignment horizontal="center" vertical="center"/>
    </xf>
    <xf numFmtId="49" fontId="45" fillId="0" borderId="38" xfId="0" applyNumberFormat="1" applyFont="1" applyFill="1" applyBorder="1" applyAlignment="1">
      <alignment horizontal="center" vertical="center"/>
    </xf>
    <xf numFmtId="49" fontId="45" fillId="0" borderId="91" xfId="0" applyNumberFormat="1" applyFont="1" applyFill="1" applyBorder="1" applyAlignment="1">
      <alignment horizontal="center" vertical="center"/>
    </xf>
    <xf numFmtId="49" fontId="45" fillId="0" borderId="90" xfId="0" applyNumberFormat="1" applyFont="1" applyFill="1" applyBorder="1" applyAlignment="1">
      <alignment horizontal="center" vertical="center"/>
    </xf>
    <xf numFmtId="49" fontId="45" fillId="0" borderId="73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center" vertical="center"/>
    </xf>
    <xf numFmtId="49" fontId="3" fillId="2" borderId="13" xfId="1" applyNumberFormat="1" applyFont="1" applyFill="1" applyBorder="1" applyAlignment="1">
      <alignment horizontal="center" vertical="center" wrapText="1"/>
    </xf>
    <xf numFmtId="49" fontId="3" fillId="2" borderId="32" xfId="1" applyNumberFormat="1" applyFont="1" applyFill="1" applyBorder="1" applyAlignment="1">
      <alignment vertical="center" wrapText="1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vertical="center" wrapText="1"/>
    </xf>
    <xf numFmtId="49" fontId="3" fillId="2" borderId="37" xfId="1" applyNumberFormat="1" applyFont="1" applyFill="1" applyBorder="1" applyAlignment="1">
      <alignment vertical="center" wrapText="1"/>
    </xf>
    <xf numFmtId="49" fontId="3" fillId="2" borderId="33" xfId="1" applyNumberFormat="1" applyFont="1" applyFill="1" applyBorder="1" applyAlignment="1">
      <alignment vertical="center" wrapText="1"/>
    </xf>
    <xf numFmtId="4" fontId="3" fillId="2" borderId="34" xfId="1" applyNumberFormat="1" applyFont="1" applyFill="1" applyBorder="1" applyAlignment="1">
      <alignment horizontal="center" vertical="center"/>
    </xf>
    <xf numFmtId="4" fontId="3" fillId="2" borderId="32" xfId="1" applyNumberFormat="1" applyFont="1" applyFill="1" applyBorder="1" applyAlignment="1">
      <alignment vertical="center" wrapText="1"/>
    </xf>
    <xf numFmtId="49" fontId="3" fillId="2" borderId="41" xfId="1" applyNumberFormat="1" applyFont="1" applyFill="1" applyBorder="1" applyAlignment="1">
      <alignment vertical="center" wrapText="1"/>
    </xf>
    <xf numFmtId="169" fontId="3" fillId="2" borderId="32" xfId="1" applyNumberFormat="1" applyFont="1" applyFill="1" applyBorder="1" applyAlignment="1">
      <alignment horizontal="center" vertical="center"/>
    </xf>
    <xf numFmtId="49" fontId="3" fillId="2" borderId="15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vertical="center" wrapText="1"/>
    </xf>
    <xf numFmtId="49" fontId="3" fillId="2" borderId="0" xfId="1" applyNumberFormat="1" applyFont="1" applyFill="1" applyBorder="1" applyAlignment="1">
      <alignment vertical="center" wrapText="1"/>
    </xf>
    <xf numFmtId="4" fontId="3" fillId="2" borderId="0" xfId="1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9" xfId="1" applyNumberFormat="1" applyFont="1" applyFill="1" applyBorder="1" applyAlignment="1">
      <alignment vertical="center" wrapText="1"/>
    </xf>
    <xf numFmtId="0" fontId="8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Alignment="1">
      <alignment horizontal="left" vertical="top" wrapText="1"/>
    </xf>
    <xf numFmtId="0" fontId="43" fillId="0" borderId="0" xfId="0" applyFont="1" applyAlignment="1">
      <alignment horizontal="center"/>
    </xf>
    <xf numFmtId="0" fontId="43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6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47" xfId="0" applyFont="1" applyFill="1" applyBorder="1" applyAlignment="1">
      <alignment horizontal="center" vertical="center"/>
    </xf>
    <xf numFmtId="0" fontId="29" fillId="0" borderId="49" xfId="0" applyFont="1" applyFill="1" applyBorder="1" applyAlignment="1">
      <alignment horizontal="center" vertical="center"/>
    </xf>
    <xf numFmtId="0" fontId="29" fillId="0" borderId="64" xfId="0" applyFont="1" applyFill="1" applyBorder="1" applyAlignment="1">
      <alignment horizontal="center" vertical="center"/>
    </xf>
    <xf numFmtId="0" fontId="29" fillId="0" borderId="37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96" xfId="0" applyNumberFormat="1" applyFont="1" applyFill="1" applyBorder="1" applyAlignment="1">
      <alignment horizontal="center" vertical="justify" wrapText="1"/>
    </xf>
    <xf numFmtId="3" fontId="3" fillId="2" borderId="90" xfId="0" applyNumberFormat="1" applyFont="1" applyFill="1" applyBorder="1" applyAlignment="1">
      <alignment horizontal="center" vertical="justify" wrapText="1"/>
    </xf>
    <xf numFmtId="3" fontId="3" fillId="2" borderId="66" xfId="0" applyNumberFormat="1" applyFont="1" applyFill="1" applyBorder="1" applyAlignment="1">
      <alignment horizontal="center" vertical="justify" wrapText="1"/>
    </xf>
    <xf numFmtId="3" fontId="7" fillId="2" borderId="4" xfId="0" applyNumberFormat="1" applyFont="1" applyFill="1" applyBorder="1" applyAlignment="1" applyProtection="1">
      <alignment horizontal="center" vertical="center"/>
      <protection locked="0"/>
    </xf>
    <xf numFmtId="3" fontId="7" fillId="2" borderId="32" xfId="0" applyNumberFormat="1" applyFont="1" applyFill="1" applyBorder="1" applyAlignment="1" applyProtection="1">
      <alignment horizontal="center" vertical="center"/>
      <protection locked="0"/>
    </xf>
    <xf numFmtId="3" fontId="7" fillId="2" borderId="46" xfId="0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Fill="1" applyAlignment="1">
      <alignment horizontal="left" vertical="center" wrapText="1"/>
    </xf>
    <xf numFmtId="49" fontId="3" fillId="2" borderId="13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49" fontId="3" fillId="2" borderId="77" xfId="1" applyNumberFormat="1" applyFont="1" applyFill="1" applyBorder="1" applyAlignment="1">
      <alignment horizontal="center" vertical="center" wrapText="1"/>
    </xf>
    <xf numFmtId="49" fontId="3" fillId="2" borderId="21" xfId="1" applyNumberFormat="1" applyFont="1" applyFill="1" applyBorder="1" applyAlignment="1">
      <alignment horizontal="center" vertical="center" wrapText="1"/>
    </xf>
    <xf numFmtId="49" fontId="3" fillId="2" borderId="41" xfId="1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49" fontId="3" fillId="2" borderId="14" xfId="1" applyNumberFormat="1" applyFont="1" applyFill="1" applyBorder="1" applyAlignment="1">
      <alignment horizontal="center" vertical="center" wrapText="1"/>
    </xf>
    <xf numFmtId="49" fontId="3" fillId="2" borderId="10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16" xfId="1" applyNumberFormat="1" applyFont="1" applyFill="1" applyBorder="1" applyAlignment="1">
      <alignment horizontal="center" vertical="center" wrapText="1"/>
    </xf>
    <xf numFmtId="49" fontId="3" fillId="2" borderId="19" xfId="1" applyNumberFormat="1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 wrapText="1"/>
    </xf>
    <xf numFmtId="3" fontId="3" fillId="2" borderId="14" xfId="0" applyNumberFormat="1" applyFont="1" applyFill="1" applyBorder="1" applyAlignment="1">
      <alignment horizontal="center" vertical="center"/>
    </xf>
    <xf numFmtId="3" fontId="3" fillId="2" borderId="70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justify" wrapText="1"/>
    </xf>
    <xf numFmtId="3" fontId="3" fillId="2" borderId="7" xfId="0" applyNumberFormat="1" applyFont="1" applyFill="1" applyBorder="1" applyAlignment="1">
      <alignment horizontal="center" vertical="justify" wrapText="1"/>
    </xf>
    <xf numFmtId="3" fontId="3" fillId="2" borderId="17" xfId="0" applyNumberFormat="1" applyFont="1" applyFill="1" applyBorder="1" applyAlignment="1">
      <alignment horizontal="center" vertical="justify" wrapText="1"/>
    </xf>
    <xf numFmtId="3" fontId="3" fillId="2" borderId="69" xfId="0" applyNumberFormat="1" applyFont="1" applyFill="1" applyBorder="1" applyAlignment="1">
      <alignment horizontal="center" vertical="center"/>
    </xf>
    <xf numFmtId="49" fontId="3" fillId="2" borderId="64" xfId="1" applyNumberFormat="1" applyFont="1" applyFill="1" applyBorder="1" applyAlignment="1">
      <alignment horizontal="center" vertical="center" wrapText="1"/>
    </xf>
    <xf numFmtId="49" fontId="3" fillId="2" borderId="31" xfId="1" applyNumberFormat="1" applyFont="1" applyFill="1" applyBorder="1" applyAlignment="1">
      <alignment horizontal="center" vertical="center" wrapText="1"/>
    </xf>
    <xf numFmtId="49" fontId="3" fillId="2" borderId="37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165" fontId="10" fillId="2" borderId="0" xfId="54" applyFont="1" applyFill="1" applyBorder="1" applyAlignment="1">
      <alignment horizontal="center" vertical="center"/>
    </xf>
    <xf numFmtId="165" fontId="10" fillId="2" borderId="0" xfId="54" applyFont="1" applyFill="1" applyAlignment="1">
      <alignment horizontal="center" vertical="center"/>
    </xf>
    <xf numFmtId="0" fontId="10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19" xfId="1" applyFont="1" applyFill="1" applyBorder="1" applyAlignment="1" applyProtection="1">
      <alignment horizontal="center" vertical="center" wrapText="1"/>
      <protection locked="0"/>
    </xf>
    <xf numFmtId="0" fontId="10" fillId="2" borderId="18" xfId="1" applyFont="1" applyFill="1" applyBorder="1" applyAlignment="1" applyProtection="1">
      <alignment horizontal="center" vertical="center" wrapText="1"/>
      <protection locked="0"/>
    </xf>
    <xf numFmtId="166" fontId="10" fillId="2" borderId="16" xfId="1" applyNumberFormat="1" applyFont="1" applyFill="1" applyBorder="1" applyAlignment="1" applyProtection="1">
      <alignment horizontal="center" vertical="center" textRotation="90" wrapText="1"/>
      <protection locked="0"/>
    </xf>
    <xf numFmtId="166" fontId="10" fillId="2" borderId="19" xfId="1" applyNumberFormat="1" applyFont="1" applyFill="1" applyBorder="1" applyAlignment="1" applyProtection="1">
      <alignment horizontal="center" vertical="center" textRotation="90" wrapText="1"/>
      <protection locked="0"/>
    </xf>
    <xf numFmtId="166" fontId="10" fillId="2" borderId="18" xfId="1" applyNumberFormat="1" applyFont="1" applyFill="1" applyBorder="1" applyAlignment="1" applyProtection="1">
      <alignment horizontal="center" vertical="center" textRotation="90" wrapText="1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7" xfId="1" applyFont="1" applyFill="1" applyBorder="1" applyAlignment="1" applyProtection="1">
      <alignment horizontal="center" vertical="center"/>
      <protection locked="0"/>
    </xf>
    <xf numFmtId="0" fontId="10" fillId="2" borderId="17" xfId="1" applyFont="1" applyFill="1" applyBorder="1" applyAlignment="1" applyProtection="1">
      <alignment horizontal="center" vertical="center"/>
      <protection locked="0"/>
    </xf>
    <xf numFmtId="3" fontId="3" fillId="2" borderId="8" xfId="0" applyNumberFormat="1" applyFont="1" applyFill="1" applyBorder="1" applyAlignment="1">
      <alignment horizontal="center" vertical="top" wrapText="1"/>
    </xf>
    <xf numFmtId="3" fontId="3" fillId="2" borderId="7" xfId="0" applyNumberFormat="1" applyFont="1" applyFill="1" applyBorder="1" applyAlignment="1">
      <alignment horizontal="center" vertical="top" wrapText="1"/>
    </xf>
    <xf numFmtId="3" fontId="3" fillId="2" borderId="17" xfId="0" applyNumberFormat="1" applyFont="1" applyFill="1" applyBorder="1" applyAlignment="1">
      <alignment horizontal="center" vertical="top" wrapText="1"/>
    </xf>
  </cellXfs>
  <cellStyles count="55">
    <cellStyle name="20% — акцент1" xfId="28" builtinId="30" customBuiltin="1"/>
    <cellStyle name="20% — акцент2" xfId="32" builtinId="34" customBuiltin="1"/>
    <cellStyle name="20% — акцент3" xfId="36" builtinId="38" customBuiltin="1"/>
    <cellStyle name="20% — акцент4" xfId="40" builtinId="42" customBuiltin="1"/>
    <cellStyle name="20% — акцент5" xfId="44" builtinId="46" customBuiltin="1"/>
    <cellStyle name="20% — акцент6" xfId="48" builtinId="50" customBuiltin="1"/>
    <cellStyle name="40% — акцент1" xfId="29" builtinId="31" customBuiltin="1"/>
    <cellStyle name="40% — акцент2" xfId="33" builtinId="35" customBuiltin="1"/>
    <cellStyle name="40% — акцент3" xfId="37" builtinId="39" customBuiltin="1"/>
    <cellStyle name="40% — акцент4" xfId="41" builtinId="43" customBuiltin="1"/>
    <cellStyle name="40% — акцент5" xfId="45" builtinId="47" customBuiltin="1"/>
    <cellStyle name="40% — акцент6" xfId="49" builtinId="51" customBuiltin="1"/>
    <cellStyle name="60% — акцент1" xfId="30" builtinId="32" customBuiltin="1"/>
    <cellStyle name="60% — акцент2" xfId="34" builtinId="36" customBuiltin="1"/>
    <cellStyle name="60% — акцент3" xfId="38" builtinId="40" customBuiltin="1"/>
    <cellStyle name="60% — акцент4" xfId="42" builtinId="44" customBuiltin="1"/>
    <cellStyle name="60% — акцент5" xfId="46" builtinId="48" customBuiltin="1"/>
    <cellStyle name="60% — акцент6" xfId="50" builtinId="52" customBuiltin="1"/>
    <cellStyle name="Excel Built-in Normal" xfId="2"/>
    <cellStyle name="Акцент1" xfId="27" builtinId="29" customBuiltin="1"/>
    <cellStyle name="Акцент2" xfId="31" builtinId="33" customBuiltin="1"/>
    <cellStyle name="Акцент3" xfId="35" builtinId="37" customBuiltin="1"/>
    <cellStyle name="Акцент4" xfId="39" builtinId="41" customBuiltin="1"/>
    <cellStyle name="Акцент5" xfId="43" builtinId="45" customBuiltin="1"/>
    <cellStyle name="Акцент6" xfId="47" builtinId="49" customBuiltin="1"/>
    <cellStyle name="Ввод " xfId="18" builtinId="20" customBuiltin="1"/>
    <cellStyle name="Вывод" xfId="19" builtinId="21" customBuiltin="1"/>
    <cellStyle name="Вычисление" xfId="2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26" builtinId="25" customBuiltin="1"/>
    <cellStyle name="Контрольная ячейка" xfId="22" builtinId="23" customBuiltin="1"/>
    <cellStyle name="Название" xfId="10" builtinId="15" customBuiltin="1"/>
    <cellStyle name="Нейтральный" xfId="17" builtinId="28" customBuiltin="1"/>
    <cellStyle name="Обычный" xfId="0" builtinId="0"/>
    <cellStyle name="Обычный 2" xfId="1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51"/>
    <cellStyle name="Плохой" xfId="16" builtinId="27" customBuiltin="1"/>
    <cellStyle name="Пояснение" xfId="25" builtinId="53" customBuiltin="1"/>
    <cellStyle name="Примечание" xfId="24" builtinId="10" customBuiltin="1"/>
    <cellStyle name="Связанная ячейка" xfId="21" builtinId="24" customBuiltin="1"/>
    <cellStyle name="Текст предупреждения" xfId="23" builtinId="11" customBuiltin="1"/>
    <cellStyle name="Финансовый" xfId="54" builtinId="3"/>
    <cellStyle name="Финансовый 2" xfId="9"/>
    <cellStyle name="Финансовый 2 2" xfId="52"/>
    <cellStyle name="Финансовый 3" xfId="53"/>
    <cellStyle name="Хороший" xfId="15" builtinId="26" customBuiltin="1"/>
  </cellStyles>
  <dxfs count="0"/>
  <tableStyles count="0" defaultTableStyle="TableStyleMedium9" defaultPivotStyle="PivotStyleLight16"/>
  <colors>
    <mruColors>
      <color rgb="FF33CC33"/>
      <color rgb="FF009900"/>
      <color rgb="FF66FF66"/>
      <color rgb="FFFFCC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1"/>
  <sheetViews>
    <sheetView tabSelected="1" topLeftCell="J1" workbookViewId="0">
      <selection activeCell="A3" sqref="A3:AD3"/>
    </sheetView>
  </sheetViews>
  <sheetFormatPr defaultRowHeight="15" x14ac:dyDescent="0.25"/>
  <cols>
    <col min="1" max="1" width="6.7109375" customWidth="1"/>
    <col min="2" max="2" width="22.28515625" customWidth="1"/>
    <col min="3" max="3" width="10" bestFit="1" customWidth="1"/>
    <col min="4" max="4" width="10.7109375" customWidth="1"/>
    <col min="5" max="5" width="12" customWidth="1"/>
    <col min="6" max="6" width="18.140625" customWidth="1"/>
    <col min="7" max="7" width="13.5703125" customWidth="1"/>
    <col min="8" max="8" width="13.85546875" customWidth="1"/>
    <col min="9" max="9" width="16.28515625" customWidth="1"/>
    <col min="10" max="10" width="12.7109375" customWidth="1"/>
    <col min="11" max="11" width="12" customWidth="1"/>
    <col min="12" max="12" width="12.7109375" customWidth="1"/>
    <col min="13" max="13" width="12.42578125" customWidth="1"/>
    <col min="14" max="14" width="13" customWidth="1"/>
    <col min="15" max="16" width="11.85546875" customWidth="1"/>
    <col min="17" max="17" width="11.5703125" customWidth="1"/>
    <col min="18" max="18" width="10.85546875" customWidth="1"/>
    <col min="19" max="23" width="11.85546875" customWidth="1"/>
    <col min="24" max="24" width="13.85546875" customWidth="1"/>
    <col min="25" max="25" width="15.42578125" customWidth="1"/>
    <col min="26" max="26" width="11.28515625" customWidth="1"/>
    <col min="27" max="27" width="11.5703125" customWidth="1"/>
    <col min="28" max="28" width="11.85546875" customWidth="1"/>
    <col min="29" max="29" width="12" customWidth="1"/>
    <col min="30" max="30" width="12.28515625" customWidth="1"/>
  </cols>
  <sheetData>
    <row r="1" spans="1:30" ht="142.5" customHeight="1" x14ac:dyDescent="0.3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280" t="s">
        <v>1155</v>
      </c>
      <c r="Z1" s="280"/>
      <c r="AA1" s="280"/>
      <c r="AB1" s="280"/>
      <c r="AC1" s="280"/>
      <c r="AD1" s="280"/>
    </row>
    <row r="2" spans="1:30" ht="17.25" customHeight="1" x14ac:dyDescent="0.45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8"/>
      <c r="AA2" s="178"/>
      <c r="AB2" s="178"/>
      <c r="AC2" s="178"/>
      <c r="AD2" s="178"/>
    </row>
    <row r="3" spans="1:30" ht="45.75" customHeight="1" x14ac:dyDescent="0.45">
      <c r="A3" s="281" t="s">
        <v>916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</row>
    <row r="4" spans="1:30" ht="63" customHeight="1" thickBot="1" x14ac:dyDescent="0.3">
      <c r="A4" s="282" t="s">
        <v>240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</row>
    <row r="5" spans="1:30" ht="24.95" customHeight="1" thickBot="1" x14ac:dyDescent="0.3">
      <c r="A5" s="284" t="s">
        <v>241</v>
      </c>
      <c r="B5" s="287" t="s">
        <v>242</v>
      </c>
      <c r="C5" s="284" t="s">
        <v>243</v>
      </c>
      <c r="D5" s="284" t="s">
        <v>244</v>
      </c>
      <c r="E5" s="290" t="s">
        <v>245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1"/>
    </row>
    <row r="6" spans="1:30" ht="27" customHeight="1" x14ac:dyDescent="0.25">
      <c r="A6" s="285"/>
      <c r="B6" s="288"/>
      <c r="C6" s="285"/>
      <c r="D6" s="285"/>
      <c r="E6" s="292" t="s">
        <v>246</v>
      </c>
      <c r="F6" s="294" t="s">
        <v>247</v>
      </c>
      <c r="G6" s="298" t="s">
        <v>248</v>
      </c>
      <c r="H6" s="296" t="s">
        <v>249</v>
      </c>
      <c r="I6" s="300" t="s">
        <v>250</v>
      </c>
      <c r="J6" s="296" t="s">
        <v>251</v>
      </c>
      <c r="K6" s="292" t="s">
        <v>252</v>
      </c>
      <c r="L6" s="296" t="s">
        <v>253</v>
      </c>
      <c r="M6" s="296" t="s">
        <v>254</v>
      </c>
      <c r="N6" s="296" t="s">
        <v>255</v>
      </c>
      <c r="O6" s="296" t="s">
        <v>256</v>
      </c>
      <c r="P6" s="296" t="s">
        <v>257</v>
      </c>
      <c r="Q6" s="296" t="s">
        <v>258</v>
      </c>
      <c r="R6" s="296" t="s">
        <v>259</v>
      </c>
      <c r="S6" s="296" t="s">
        <v>260</v>
      </c>
      <c r="T6" s="296" t="s">
        <v>261</v>
      </c>
      <c r="U6" s="296" t="s">
        <v>262</v>
      </c>
      <c r="V6" s="296" t="s">
        <v>263</v>
      </c>
      <c r="W6" s="296" t="s">
        <v>264</v>
      </c>
      <c r="X6" s="296" t="s">
        <v>265</v>
      </c>
      <c r="Y6" s="296" t="s">
        <v>266</v>
      </c>
      <c r="Z6" s="296" t="s">
        <v>267</v>
      </c>
      <c r="AA6" s="296" t="s">
        <v>268</v>
      </c>
      <c r="AB6" s="296" t="s">
        <v>269</v>
      </c>
      <c r="AC6" s="296" t="s">
        <v>270</v>
      </c>
      <c r="AD6" s="296" t="s">
        <v>271</v>
      </c>
    </row>
    <row r="7" spans="1:30" ht="18.75" customHeight="1" thickBot="1" x14ac:dyDescent="0.3">
      <c r="A7" s="285"/>
      <c r="B7" s="288"/>
      <c r="C7" s="285"/>
      <c r="D7" s="285"/>
      <c r="E7" s="293"/>
      <c r="F7" s="295"/>
      <c r="G7" s="299"/>
      <c r="H7" s="297"/>
      <c r="I7" s="301"/>
      <c r="J7" s="297"/>
      <c r="K7" s="293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</row>
    <row r="8" spans="1:30" ht="124.5" customHeight="1" thickBot="1" x14ac:dyDescent="0.3">
      <c r="A8" s="286"/>
      <c r="B8" s="289"/>
      <c r="C8" s="286"/>
      <c r="D8" s="286"/>
      <c r="E8" s="179" t="s">
        <v>272</v>
      </c>
      <c r="F8" s="180" t="s">
        <v>273</v>
      </c>
      <c r="G8" s="181" t="s">
        <v>274</v>
      </c>
      <c r="H8" s="182" t="s">
        <v>275</v>
      </c>
      <c r="I8" s="183" t="s">
        <v>276</v>
      </c>
      <c r="J8" s="182" t="s">
        <v>277</v>
      </c>
      <c r="K8" s="184" t="s">
        <v>278</v>
      </c>
      <c r="L8" s="179" t="s">
        <v>279</v>
      </c>
      <c r="M8" s="182" t="s">
        <v>280</v>
      </c>
      <c r="N8" s="184" t="s">
        <v>281</v>
      </c>
      <c r="O8" s="185" t="s">
        <v>282</v>
      </c>
      <c r="P8" s="182" t="s">
        <v>283</v>
      </c>
      <c r="Q8" s="182" t="s">
        <v>284</v>
      </c>
      <c r="R8" s="182" t="s">
        <v>285</v>
      </c>
      <c r="S8" s="186" t="s">
        <v>286</v>
      </c>
      <c r="T8" s="182" t="s">
        <v>287</v>
      </c>
      <c r="U8" s="184" t="s">
        <v>288</v>
      </c>
      <c r="V8" s="182" t="s">
        <v>289</v>
      </c>
      <c r="W8" s="182" t="s">
        <v>290</v>
      </c>
      <c r="X8" s="187" t="s">
        <v>291</v>
      </c>
      <c r="Y8" s="187" t="s">
        <v>292</v>
      </c>
      <c r="Z8" s="182" t="s">
        <v>293</v>
      </c>
      <c r="AA8" s="182" t="s">
        <v>294</v>
      </c>
      <c r="AB8" s="182" t="s">
        <v>295</v>
      </c>
      <c r="AC8" s="182" t="s">
        <v>296</v>
      </c>
      <c r="AD8" s="188" t="s">
        <v>297</v>
      </c>
    </row>
    <row r="9" spans="1:30" ht="20.100000000000001" customHeight="1" thickBot="1" x14ac:dyDescent="0.3">
      <c r="A9" s="189">
        <v>1</v>
      </c>
      <c r="B9" s="189">
        <f>A9+1</f>
        <v>2</v>
      </c>
      <c r="C9" s="189">
        <f>B9+1</f>
        <v>3</v>
      </c>
      <c r="D9" s="189">
        <f t="shared" ref="D9:AD9" si="0">C9+1</f>
        <v>4</v>
      </c>
      <c r="E9" s="190">
        <f t="shared" si="0"/>
        <v>5</v>
      </c>
      <c r="F9" s="190">
        <f t="shared" si="0"/>
        <v>6</v>
      </c>
      <c r="G9" s="190">
        <f t="shared" si="0"/>
        <v>7</v>
      </c>
      <c r="H9" s="190">
        <f t="shared" si="0"/>
        <v>8</v>
      </c>
      <c r="I9" s="190">
        <f t="shared" si="0"/>
        <v>9</v>
      </c>
      <c r="J9" s="190">
        <f t="shared" si="0"/>
        <v>10</v>
      </c>
      <c r="K9" s="190">
        <f t="shared" si="0"/>
        <v>11</v>
      </c>
      <c r="L9" s="190">
        <f t="shared" si="0"/>
        <v>12</v>
      </c>
      <c r="M9" s="191">
        <f t="shared" si="0"/>
        <v>13</v>
      </c>
      <c r="N9" s="190">
        <f t="shared" si="0"/>
        <v>14</v>
      </c>
      <c r="O9" s="190">
        <f t="shared" si="0"/>
        <v>15</v>
      </c>
      <c r="P9" s="190">
        <f t="shared" si="0"/>
        <v>16</v>
      </c>
      <c r="Q9" s="190">
        <f t="shared" si="0"/>
        <v>17</v>
      </c>
      <c r="R9" s="190">
        <f t="shared" si="0"/>
        <v>18</v>
      </c>
      <c r="S9" s="190">
        <f t="shared" si="0"/>
        <v>19</v>
      </c>
      <c r="T9" s="190">
        <f t="shared" si="0"/>
        <v>20</v>
      </c>
      <c r="U9" s="190">
        <f t="shared" si="0"/>
        <v>21</v>
      </c>
      <c r="V9" s="190">
        <f t="shared" si="0"/>
        <v>22</v>
      </c>
      <c r="W9" s="190">
        <f t="shared" si="0"/>
        <v>23</v>
      </c>
      <c r="X9" s="190">
        <f t="shared" si="0"/>
        <v>24</v>
      </c>
      <c r="Y9" s="190">
        <f t="shared" si="0"/>
        <v>25</v>
      </c>
      <c r="Z9" s="190">
        <f t="shared" si="0"/>
        <v>26</v>
      </c>
      <c r="AA9" s="190">
        <f t="shared" si="0"/>
        <v>27</v>
      </c>
      <c r="AB9" s="190">
        <f t="shared" si="0"/>
        <v>28</v>
      </c>
      <c r="AC9" s="190">
        <f t="shared" si="0"/>
        <v>29</v>
      </c>
      <c r="AD9" s="191">
        <f t="shared" si="0"/>
        <v>30</v>
      </c>
    </row>
    <row r="10" spans="1:30" ht="30" customHeight="1" x14ac:dyDescent="0.25">
      <c r="A10" s="192" t="s">
        <v>298</v>
      </c>
      <c r="B10" s="302" t="s">
        <v>913</v>
      </c>
      <c r="C10" s="193">
        <v>2</v>
      </c>
      <c r="D10" s="194" t="s">
        <v>299</v>
      </c>
      <c r="E10" s="209" t="s">
        <v>300</v>
      </c>
      <c r="F10" s="209" t="s">
        <v>301</v>
      </c>
      <c r="G10" s="210" t="s">
        <v>302</v>
      </c>
      <c r="H10" s="211" t="s">
        <v>303</v>
      </c>
      <c r="I10" s="211" t="s">
        <v>304</v>
      </c>
      <c r="J10" s="212" t="s">
        <v>305</v>
      </c>
      <c r="K10" s="212" t="s">
        <v>131</v>
      </c>
      <c r="L10" s="213" t="s">
        <v>306</v>
      </c>
      <c r="M10" s="212" t="s">
        <v>307</v>
      </c>
      <c r="N10" s="214" t="s">
        <v>308</v>
      </c>
      <c r="O10" s="211" t="s">
        <v>309</v>
      </c>
      <c r="P10" s="212" t="s">
        <v>310</v>
      </c>
      <c r="Q10" s="211" t="s">
        <v>311</v>
      </c>
      <c r="R10" s="211" t="s">
        <v>312</v>
      </c>
      <c r="S10" s="211" t="s">
        <v>313</v>
      </c>
      <c r="T10" s="212" t="s">
        <v>314</v>
      </c>
      <c r="U10" s="212" t="s">
        <v>315</v>
      </c>
      <c r="V10" s="211" t="s">
        <v>316</v>
      </c>
      <c r="W10" s="211" t="s">
        <v>317</v>
      </c>
      <c r="X10" s="211" t="s">
        <v>318</v>
      </c>
      <c r="Y10" s="216" t="s">
        <v>238</v>
      </c>
      <c r="Z10" s="215" t="s">
        <v>319</v>
      </c>
      <c r="AA10" s="216" t="s">
        <v>320</v>
      </c>
      <c r="AB10" s="209" t="s">
        <v>321</v>
      </c>
      <c r="AC10" s="209" t="s">
        <v>322</v>
      </c>
      <c r="AD10" s="209" t="s">
        <v>323</v>
      </c>
    </row>
    <row r="11" spans="1:30" ht="30" customHeight="1" x14ac:dyDescent="0.25">
      <c r="A11" s="197" t="s">
        <v>150</v>
      </c>
      <c r="B11" s="303"/>
      <c r="C11" s="195">
        <v>3</v>
      </c>
      <c r="D11" s="196" t="s">
        <v>324</v>
      </c>
      <c r="E11" s="206" t="s">
        <v>4</v>
      </c>
      <c r="F11" s="206" t="s">
        <v>325</v>
      </c>
      <c r="G11" s="217" t="s">
        <v>326</v>
      </c>
      <c r="H11" s="218" t="s">
        <v>327</v>
      </c>
      <c r="I11" s="218" t="s">
        <v>328</v>
      </c>
      <c r="J11" s="219" t="s">
        <v>329</v>
      </c>
      <c r="K11" s="220" t="s">
        <v>131</v>
      </c>
      <c r="L11" s="221" t="s">
        <v>330</v>
      </c>
      <c r="M11" s="219" t="s">
        <v>331</v>
      </c>
      <c r="N11" s="222" t="s">
        <v>332</v>
      </c>
      <c r="O11" s="219" t="s">
        <v>333</v>
      </c>
      <c r="P11" s="219" t="s">
        <v>334</v>
      </c>
      <c r="Q11" s="218" t="s">
        <v>335</v>
      </c>
      <c r="R11" s="219" t="s">
        <v>336</v>
      </c>
      <c r="S11" s="218" t="s">
        <v>337</v>
      </c>
      <c r="T11" s="223" t="s">
        <v>338</v>
      </c>
      <c r="U11" s="219" t="s">
        <v>339</v>
      </c>
      <c r="V11" s="218" t="s">
        <v>340</v>
      </c>
      <c r="W11" s="218" t="s">
        <v>341</v>
      </c>
      <c r="X11" s="218" t="s">
        <v>342</v>
      </c>
      <c r="Y11" s="206" t="s">
        <v>343</v>
      </c>
      <c r="Z11" s="217" t="s">
        <v>344</v>
      </c>
      <c r="AA11" s="206" t="s">
        <v>345</v>
      </c>
      <c r="AB11" s="206" t="s">
        <v>346</v>
      </c>
      <c r="AC11" s="206" t="s">
        <v>347</v>
      </c>
      <c r="AD11" s="206" t="s">
        <v>348</v>
      </c>
    </row>
    <row r="12" spans="1:30" ht="30" customHeight="1" x14ac:dyDescent="0.25">
      <c r="A12" s="197" t="s">
        <v>151</v>
      </c>
      <c r="B12" s="303"/>
      <c r="C12" s="195">
        <v>4</v>
      </c>
      <c r="D12" s="196" t="s">
        <v>324</v>
      </c>
      <c r="E12" s="206" t="s">
        <v>215</v>
      </c>
      <c r="F12" s="206" t="s">
        <v>349</v>
      </c>
      <c r="G12" s="217" t="s">
        <v>350</v>
      </c>
      <c r="H12" s="219" t="s">
        <v>351</v>
      </c>
      <c r="I12" s="219" t="s">
        <v>352</v>
      </c>
      <c r="J12" s="219" t="s">
        <v>353</v>
      </c>
      <c r="K12" s="218" t="s">
        <v>131</v>
      </c>
      <c r="L12" s="242" t="s">
        <v>231</v>
      </c>
      <c r="M12" s="219" t="s">
        <v>354</v>
      </c>
      <c r="N12" s="224" t="s">
        <v>355</v>
      </c>
      <c r="O12" s="220" t="s">
        <v>356</v>
      </c>
      <c r="P12" s="220" t="s">
        <v>357</v>
      </c>
      <c r="Q12" s="219" t="s">
        <v>358</v>
      </c>
      <c r="R12" s="220" t="s">
        <v>359</v>
      </c>
      <c r="S12" s="219" t="s">
        <v>360</v>
      </c>
      <c r="T12" s="218" t="s">
        <v>361</v>
      </c>
      <c r="U12" s="220" t="s">
        <v>362</v>
      </c>
      <c r="V12" s="219" t="s">
        <v>363</v>
      </c>
      <c r="W12" s="206" t="s">
        <v>236</v>
      </c>
      <c r="X12" s="219" t="s">
        <v>364</v>
      </c>
      <c r="Y12" s="206" t="s">
        <v>365</v>
      </c>
      <c r="Z12" s="217" t="s">
        <v>366</v>
      </c>
      <c r="AA12" s="206" t="s">
        <v>367</v>
      </c>
      <c r="AB12" s="206" t="s">
        <v>368</v>
      </c>
      <c r="AC12" s="206" t="s">
        <v>369</v>
      </c>
      <c r="AD12" s="206" t="s">
        <v>370</v>
      </c>
    </row>
    <row r="13" spans="1:30" ht="30" customHeight="1" x14ac:dyDescent="0.25">
      <c r="A13" s="197" t="s">
        <v>149</v>
      </c>
      <c r="B13" s="303"/>
      <c r="C13" s="195">
        <v>5</v>
      </c>
      <c r="D13" s="196" t="s">
        <v>324</v>
      </c>
      <c r="E13" s="206" t="s">
        <v>5</v>
      </c>
      <c r="F13" s="206" t="s">
        <v>146</v>
      </c>
      <c r="G13" s="217" t="s">
        <v>371</v>
      </c>
      <c r="H13" s="220" t="s">
        <v>372</v>
      </c>
      <c r="I13" s="219" t="s">
        <v>373</v>
      </c>
      <c r="J13" s="220" t="s">
        <v>374</v>
      </c>
      <c r="K13" s="218" t="s">
        <v>131</v>
      </c>
      <c r="L13" s="242" t="s">
        <v>232</v>
      </c>
      <c r="M13" s="219" t="s">
        <v>375</v>
      </c>
      <c r="N13" s="224" t="s">
        <v>376</v>
      </c>
      <c r="O13" s="218" t="s">
        <v>377</v>
      </c>
      <c r="P13" s="219" t="s">
        <v>378</v>
      </c>
      <c r="Q13" s="220" t="s">
        <v>379</v>
      </c>
      <c r="R13" s="218" t="s">
        <v>380</v>
      </c>
      <c r="S13" s="220" t="s">
        <v>381</v>
      </c>
      <c r="T13" s="218" t="s">
        <v>382</v>
      </c>
      <c r="U13" s="218" t="s">
        <v>383</v>
      </c>
      <c r="V13" s="220" t="s">
        <v>384</v>
      </c>
      <c r="W13" s="206" t="s">
        <v>237</v>
      </c>
      <c r="X13" s="220" t="s">
        <v>385</v>
      </c>
      <c r="Y13" s="225" t="s">
        <v>386</v>
      </c>
      <c r="Z13" s="226" t="s">
        <v>387</v>
      </c>
      <c r="AA13" s="225" t="s">
        <v>388</v>
      </c>
      <c r="AB13" s="206" t="s">
        <v>389</v>
      </c>
      <c r="AC13" s="206" t="s">
        <v>390</v>
      </c>
      <c r="AD13" s="206" t="s">
        <v>391</v>
      </c>
    </row>
    <row r="14" spans="1:30" ht="30" customHeight="1" x14ac:dyDescent="0.25">
      <c r="A14" s="197" t="s">
        <v>152</v>
      </c>
      <c r="B14" s="303"/>
      <c r="C14" s="195">
        <v>9</v>
      </c>
      <c r="D14" s="196" t="s">
        <v>324</v>
      </c>
      <c r="E14" s="206" t="s">
        <v>139</v>
      </c>
      <c r="F14" s="206" t="s">
        <v>229</v>
      </c>
      <c r="G14" s="217" t="s">
        <v>392</v>
      </c>
      <c r="H14" s="227" t="s">
        <v>393</v>
      </c>
      <c r="I14" s="225" t="s">
        <v>394</v>
      </c>
      <c r="J14" s="227" t="s">
        <v>395</v>
      </c>
      <c r="K14" s="218" t="s">
        <v>131</v>
      </c>
      <c r="L14" s="228" t="s">
        <v>396</v>
      </c>
      <c r="M14" s="219" t="s">
        <v>397</v>
      </c>
      <c r="N14" s="229" t="s">
        <v>398</v>
      </c>
      <c r="O14" s="218" t="s">
        <v>399</v>
      </c>
      <c r="P14" s="220" t="s">
        <v>400</v>
      </c>
      <c r="Q14" s="219" t="s">
        <v>401</v>
      </c>
      <c r="R14" s="218" t="s">
        <v>402</v>
      </c>
      <c r="S14" s="219" t="s">
        <v>403</v>
      </c>
      <c r="T14" s="219" t="s">
        <v>404</v>
      </c>
      <c r="U14" s="219" t="s">
        <v>405</v>
      </c>
      <c r="V14" s="219" t="s">
        <v>406</v>
      </c>
      <c r="W14" s="219" t="s">
        <v>407</v>
      </c>
      <c r="X14" s="218" t="s">
        <v>408</v>
      </c>
      <c r="Y14" s="206" t="s">
        <v>409</v>
      </c>
      <c r="Z14" s="217" t="s">
        <v>410</v>
      </c>
      <c r="AA14" s="206" t="s">
        <v>411</v>
      </c>
      <c r="AB14" s="206" t="s">
        <v>412</v>
      </c>
      <c r="AC14" s="206" t="s">
        <v>413</v>
      </c>
      <c r="AD14" s="206" t="s">
        <v>414</v>
      </c>
    </row>
    <row r="15" spans="1:30" ht="30" customHeight="1" x14ac:dyDescent="0.25">
      <c r="A15" s="197" t="s">
        <v>153</v>
      </c>
      <c r="B15" s="303"/>
      <c r="C15" s="195">
        <v>10</v>
      </c>
      <c r="D15" s="196" t="s">
        <v>324</v>
      </c>
      <c r="E15" s="206" t="s">
        <v>140</v>
      </c>
      <c r="F15" s="206" t="s">
        <v>415</v>
      </c>
      <c r="G15" s="217" t="s">
        <v>416</v>
      </c>
      <c r="H15" s="227" t="s">
        <v>417</v>
      </c>
      <c r="I15" s="227" t="s">
        <v>418</v>
      </c>
      <c r="J15" s="227" t="s">
        <v>419</v>
      </c>
      <c r="K15" s="218" t="s">
        <v>131</v>
      </c>
      <c r="L15" s="228" t="s">
        <v>420</v>
      </c>
      <c r="M15" s="219" t="s">
        <v>421</v>
      </c>
      <c r="N15" s="222" t="s">
        <v>422</v>
      </c>
      <c r="O15" s="218" t="s">
        <v>423</v>
      </c>
      <c r="P15" s="219" t="s">
        <v>424</v>
      </c>
      <c r="Q15" s="220" t="s">
        <v>425</v>
      </c>
      <c r="R15" s="206" t="s">
        <v>426</v>
      </c>
      <c r="S15" s="225" t="s">
        <v>427</v>
      </c>
      <c r="T15" s="230" t="s">
        <v>428</v>
      </c>
      <c r="U15" s="225" t="s">
        <v>429</v>
      </c>
      <c r="V15" s="206" t="s">
        <v>430</v>
      </c>
      <c r="W15" s="225" t="s">
        <v>431</v>
      </c>
      <c r="X15" s="206" t="s">
        <v>432</v>
      </c>
      <c r="Y15" s="203" t="s">
        <v>433</v>
      </c>
      <c r="Z15" s="217" t="s">
        <v>434</v>
      </c>
      <c r="AA15" s="206" t="s">
        <v>435</v>
      </c>
      <c r="AB15" s="206" t="s">
        <v>436</v>
      </c>
      <c r="AC15" s="206" t="s">
        <v>437</v>
      </c>
      <c r="AD15" s="206" t="s">
        <v>438</v>
      </c>
    </row>
    <row r="16" spans="1:30" ht="30" customHeight="1" thickBot="1" x14ac:dyDescent="0.3">
      <c r="A16" s="198" t="s">
        <v>439</v>
      </c>
      <c r="B16" s="304"/>
      <c r="C16" s="231" t="s">
        <v>440</v>
      </c>
      <c r="D16" s="199" t="s">
        <v>324</v>
      </c>
      <c r="E16" s="233" t="s">
        <v>142</v>
      </c>
      <c r="F16" s="203" t="s">
        <v>441</v>
      </c>
      <c r="G16" s="232" t="s">
        <v>442</v>
      </c>
      <c r="H16" s="233" t="s">
        <v>443</v>
      </c>
      <c r="I16" s="233" t="s">
        <v>444</v>
      </c>
      <c r="J16" s="233" t="s">
        <v>445</v>
      </c>
      <c r="K16" s="234" t="s">
        <v>131</v>
      </c>
      <c r="L16" s="235" t="s">
        <v>446</v>
      </c>
      <c r="M16" s="234" t="s">
        <v>447</v>
      </c>
      <c r="N16" s="236" t="s">
        <v>448</v>
      </c>
      <c r="O16" s="233" t="s">
        <v>449</v>
      </c>
      <c r="P16" s="203" t="s">
        <v>450</v>
      </c>
      <c r="Q16" s="233" t="s">
        <v>451</v>
      </c>
      <c r="R16" s="203" t="s">
        <v>452</v>
      </c>
      <c r="S16" s="233" t="s">
        <v>453</v>
      </c>
      <c r="T16" s="233" t="s">
        <v>454</v>
      </c>
      <c r="U16" s="233" t="s">
        <v>455</v>
      </c>
      <c r="V16" s="203" t="s">
        <v>456</v>
      </c>
      <c r="W16" s="233" t="s">
        <v>457</v>
      </c>
      <c r="X16" s="203" t="s">
        <v>458</v>
      </c>
      <c r="Y16" s="233" t="s">
        <v>459</v>
      </c>
      <c r="Z16" s="237" t="s">
        <v>460</v>
      </c>
      <c r="AA16" s="203" t="s">
        <v>461</v>
      </c>
      <c r="AB16" s="203" t="s">
        <v>462</v>
      </c>
      <c r="AC16" s="203" t="s">
        <v>463</v>
      </c>
      <c r="AD16" s="203" t="s">
        <v>464</v>
      </c>
    </row>
    <row r="17" spans="1:30" ht="30" customHeight="1" thickBot="1" x14ac:dyDescent="0.3">
      <c r="A17" s="192" t="s">
        <v>155</v>
      </c>
      <c r="B17" s="302" t="s">
        <v>465</v>
      </c>
      <c r="C17" s="305">
        <v>2</v>
      </c>
      <c r="D17" s="200" t="s">
        <v>299</v>
      </c>
      <c r="E17" s="209" t="s">
        <v>141</v>
      </c>
      <c r="F17" s="216" t="s">
        <v>466</v>
      </c>
      <c r="G17" s="209" t="s">
        <v>55</v>
      </c>
      <c r="H17" s="209" t="s">
        <v>39</v>
      </c>
      <c r="I17" s="251" t="s">
        <v>137</v>
      </c>
      <c r="J17" s="225" t="s">
        <v>75</v>
      </c>
      <c r="K17" s="212" t="s">
        <v>131</v>
      </c>
      <c r="L17" s="238" t="s">
        <v>467</v>
      </c>
      <c r="M17" s="212" t="s">
        <v>468</v>
      </c>
      <c r="N17" s="214" t="s">
        <v>469</v>
      </c>
      <c r="O17" s="209" t="s">
        <v>470</v>
      </c>
      <c r="P17" s="209" t="s">
        <v>471</v>
      </c>
      <c r="Q17" s="209" t="s">
        <v>472</v>
      </c>
      <c r="R17" s="216" t="s">
        <v>473</v>
      </c>
      <c r="S17" s="216" t="s">
        <v>474</v>
      </c>
      <c r="T17" s="239" t="s">
        <v>475</v>
      </c>
      <c r="U17" s="216" t="s">
        <v>133</v>
      </c>
      <c r="V17" s="209" t="s">
        <v>476</v>
      </c>
      <c r="W17" s="216" t="s">
        <v>477</v>
      </c>
      <c r="X17" s="216" t="s">
        <v>478</v>
      </c>
      <c r="Y17" s="216" t="s">
        <v>199</v>
      </c>
      <c r="Z17" s="210" t="s">
        <v>479</v>
      </c>
      <c r="AA17" s="209" t="s">
        <v>480</v>
      </c>
      <c r="AB17" s="216" t="s">
        <v>481</v>
      </c>
      <c r="AC17" s="206" t="s">
        <v>213</v>
      </c>
      <c r="AD17" s="216" t="s">
        <v>482</v>
      </c>
    </row>
    <row r="18" spans="1:30" ht="30" customHeight="1" x14ac:dyDescent="0.25">
      <c r="A18" s="197" t="s">
        <v>483</v>
      </c>
      <c r="B18" s="303"/>
      <c r="C18" s="306"/>
      <c r="D18" s="201" t="s">
        <v>324</v>
      </c>
      <c r="E18" s="209" t="s">
        <v>228</v>
      </c>
      <c r="F18" s="206" t="s">
        <v>52</v>
      </c>
      <c r="G18" s="206" t="s">
        <v>56</v>
      </c>
      <c r="H18" s="206" t="s">
        <v>60</v>
      </c>
      <c r="I18" s="227" t="s">
        <v>132</v>
      </c>
      <c r="J18" s="227" t="s">
        <v>484</v>
      </c>
      <c r="K18" s="220" t="s">
        <v>131</v>
      </c>
      <c r="L18" s="242" t="s">
        <v>78</v>
      </c>
      <c r="M18" s="219" t="s">
        <v>485</v>
      </c>
      <c r="N18" s="224" t="s">
        <v>486</v>
      </c>
      <c r="O18" s="206" t="s">
        <v>487</v>
      </c>
      <c r="P18" s="227" t="s">
        <v>86</v>
      </c>
      <c r="Q18" s="206" t="s">
        <v>488</v>
      </c>
      <c r="R18" s="206" t="s">
        <v>489</v>
      </c>
      <c r="S18" s="206" t="s">
        <v>490</v>
      </c>
      <c r="T18" s="252" t="s">
        <v>101</v>
      </c>
      <c r="U18" s="227" t="s">
        <v>491</v>
      </c>
      <c r="V18" s="203" t="s">
        <v>492</v>
      </c>
      <c r="W18" s="227" t="s">
        <v>493</v>
      </c>
      <c r="X18" s="227" t="s">
        <v>494</v>
      </c>
      <c r="Y18" s="206" t="s">
        <v>200</v>
      </c>
      <c r="Z18" s="217" t="s">
        <v>495</v>
      </c>
      <c r="AA18" s="206" t="s">
        <v>496</v>
      </c>
      <c r="AB18" s="206" t="s">
        <v>497</v>
      </c>
      <c r="AC18" s="206" t="s">
        <v>208</v>
      </c>
      <c r="AD18" s="206" t="s">
        <v>498</v>
      </c>
    </row>
    <row r="19" spans="1:30" ht="30" customHeight="1" x14ac:dyDescent="0.25">
      <c r="A19" s="197" t="s">
        <v>154</v>
      </c>
      <c r="B19" s="303"/>
      <c r="C19" s="306">
        <v>3</v>
      </c>
      <c r="D19" s="201" t="s">
        <v>299</v>
      </c>
      <c r="E19" s="206" t="s">
        <v>6</v>
      </c>
      <c r="F19" s="203" t="s">
        <v>147</v>
      </c>
      <c r="G19" s="206" t="s">
        <v>57</v>
      </c>
      <c r="H19" s="202" t="s">
        <v>499</v>
      </c>
      <c r="I19" s="206" t="s">
        <v>66</v>
      </c>
      <c r="J19" s="206" t="s">
        <v>500</v>
      </c>
      <c r="K19" s="218" t="s">
        <v>131</v>
      </c>
      <c r="L19" s="242" t="s">
        <v>79</v>
      </c>
      <c r="M19" s="219" t="s">
        <v>501</v>
      </c>
      <c r="N19" s="229" t="s">
        <v>502</v>
      </c>
      <c r="O19" s="206" t="s">
        <v>503</v>
      </c>
      <c r="P19" s="206" t="s">
        <v>504</v>
      </c>
      <c r="Q19" s="206" t="s">
        <v>505</v>
      </c>
      <c r="R19" s="225" t="s">
        <v>506</v>
      </c>
      <c r="S19" s="206" t="s">
        <v>234</v>
      </c>
      <c r="T19" s="206" t="s">
        <v>507</v>
      </c>
      <c r="U19" s="206" t="s">
        <v>134</v>
      </c>
      <c r="V19" s="206" t="s">
        <v>508</v>
      </c>
      <c r="W19" s="206" t="s">
        <v>196</v>
      </c>
      <c r="X19" s="206" t="s">
        <v>509</v>
      </c>
      <c r="Y19" s="206" t="s">
        <v>510</v>
      </c>
      <c r="Z19" s="237" t="s">
        <v>511</v>
      </c>
      <c r="AA19" s="206" t="s">
        <v>512</v>
      </c>
      <c r="AB19" s="203" t="s">
        <v>513</v>
      </c>
      <c r="AC19" s="203" t="s">
        <v>514</v>
      </c>
      <c r="AD19" s="225" t="s">
        <v>515</v>
      </c>
    </row>
    <row r="20" spans="1:30" ht="30" customHeight="1" x14ac:dyDescent="0.25">
      <c r="A20" s="197" t="s">
        <v>156</v>
      </c>
      <c r="B20" s="303"/>
      <c r="C20" s="306"/>
      <c r="D20" s="201" t="s">
        <v>324</v>
      </c>
      <c r="E20" s="206" t="s">
        <v>7</v>
      </c>
      <c r="F20" s="206" t="s">
        <v>53</v>
      </c>
      <c r="G20" s="206" t="s">
        <v>34</v>
      </c>
      <c r="H20" s="206" t="s">
        <v>61</v>
      </c>
      <c r="I20" s="203" t="s">
        <v>516</v>
      </c>
      <c r="J20" s="206" t="s">
        <v>76</v>
      </c>
      <c r="K20" s="218" t="s">
        <v>131</v>
      </c>
      <c r="L20" s="242" t="s">
        <v>80</v>
      </c>
      <c r="M20" s="219" t="s">
        <v>517</v>
      </c>
      <c r="N20" s="224" t="s">
        <v>518</v>
      </c>
      <c r="O20" s="225" t="s">
        <v>519</v>
      </c>
      <c r="P20" s="206" t="s">
        <v>211</v>
      </c>
      <c r="Q20" s="225" t="s">
        <v>520</v>
      </c>
      <c r="R20" s="206" t="s">
        <v>521</v>
      </c>
      <c r="S20" s="206" t="s">
        <v>97</v>
      </c>
      <c r="T20" s="240" t="s">
        <v>522</v>
      </c>
      <c r="U20" s="225" t="s">
        <v>523</v>
      </c>
      <c r="V20" s="206" t="s">
        <v>524</v>
      </c>
      <c r="W20" s="203" t="s">
        <v>525</v>
      </c>
      <c r="X20" s="206" t="s">
        <v>526</v>
      </c>
      <c r="Y20" s="225" t="s">
        <v>527</v>
      </c>
      <c r="Z20" s="217" t="s">
        <v>116</v>
      </c>
      <c r="AA20" s="206" t="s">
        <v>528</v>
      </c>
      <c r="AB20" s="206" t="s">
        <v>120</v>
      </c>
      <c r="AC20" s="206" t="s">
        <v>123</v>
      </c>
      <c r="AD20" s="206" t="s">
        <v>529</v>
      </c>
    </row>
    <row r="21" spans="1:30" ht="30" customHeight="1" thickBot="1" x14ac:dyDescent="0.3">
      <c r="A21" s="197" t="s">
        <v>157</v>
      </c>
      <c r="B21" s="303"/>
      <c r="C21" s="306">
        <v>4</v>
      </c>
      <c r="D21" s="201" t="s">
        <v>299</v>
      </c>
      <c r="E21" s="206" t="s">
        <v>51</v>
      </c>
      <c r="F21" s="206" t="s">
        <v>54</v>
      </c>
      <c r="G21" s="206" t="s">
        <v>160</v>
      </c>
      <c r="H21" s="203" t="s">
        <v>530</v>
      </c>
      <c r="I21" s="225" t="s">
        <v>67</v>
      </c>
      <c r="J21" s="203" t="s">
        <v>531</v>
      </c>
      <c r="K21" s="218" t="s">
        <v>131</v>
      </c>
      <c r="L21" s="235" t="s">
        <v>138</v>
      </c>
      <c r="M21" s="219" t="s">
        <v>532</v>
      </c>
      <c r="N21" s="241" t="s">
        <v>533</v>
      </c>
      <c r="O21" s="227" t="s">
        <v>534</v>
      </c>
      <c r="P21" s="233" t="s">
        <v>535</v>
      </c>
      <c r="Q21" s="206" t="s">
        <v>536</v>
      </c>
      <c r="R21" s="203" t="s">
        <v>537</v>
      </c>
      <c r="S21" s="203" t="s">
        <v>538</v>
      </c>
      <c r="T21" s="253" t="s">
        <v>102</v>
      </c>
      <c r="U21" s="206" t="s">
        <v>135</v>
      </c>
      <c r="V21" s="225" t="s">
        <v>539</v>
      </c>
      <c r="W21" s="206" t="s">
        <v>109</v>
      </c>
      <c r="X21" s="225" t="s">
        <v>540</v>
      </c>
      <c r="Y21" s="206" t="s">
        <v>541</v>
      </c>
      <c r="Z21" s="237" t="s">
        <v>202</v>
      </c>
      <c r="AA21" s="206" t="s">
        <v>542</v>
      </c>
      <c r="AB21" s="203" t="s">
        <v>543</v>
      </c>
      <c r="AC21" s="203" t="s">
        <v>544</v>
      </c>
      <c r="AD21" s="225" t="s">
        <v>545</v>
      </c>
    </row>
    <row r="22" spans="1:30" ht="30" customHeight="1" x14ac:dyDescent="0.25">
      <c r="A22" s="197" t="s">
        <v>158</v>
      </c>
      <c r="B22" s="303"/>
      <c r="C22" s="306"/>
      <c r="D22" s="201" t="s">
        <v>324</v>
      </c>
      <c r="E22" s="206" t="s">
        <v>49</v>
      </c>
      <c r="F22" s="206" t="s">
        <v>17</v>
      </c>
      <c r="G22" s="203" t="s">
        <v>35</v>
      </c>
      <c r="H22" s="254" t="s">
        <v>62</v>
      </c>
      <c r="I22" s="227" t="s">
        <v>68</v>
      </c>
      <c r="J22" s="225" t="s">
        <v>40</v>
      </c>
      <c r="K22" s="219" t="s">
        <v>131</v>
      </c>
      <c r="L22" s="242" t="s">
        <v>42</v>
      </c>
      <c r="M22" s="219" t="s">
        <v>546</v>
      </c>
      <c r="N22" s="229" t="s">
        <v>547</v>
      </c>
      <c r="O22" s="206" t="s">
        <v>548</v>
      </c>
      <c r="P22" s="209" t="s">
        <v>87</v>
      </c>
      <c r="Q22" s="209" t="s">
        <v>93</v>
      </c>
      <c r="R22" s="206" t="s">
        <v>46</v>
      </c>
      <c r="S22" s="206" t="s">
        <v>98</v>
      </c>
      <c r="T22" s="252" t="s">
        <v>103</v>
      </c>
      <c r="U22" s="227" t="s">
        <v>136</v>
      </c>
      <c r="V22" s="227" t="s">
        <v>549</v>
      </c>
      <c r="W22" s="227" t="s">
        <v>110</v>
      </c>
      <c r="X22" s="227" t="s">
        <v>550</v>
      </c>
      <c r="Y22" s="225" t="s">
        <v>551</v>
      </c>
      <c r="Z22" s="217" t="s">
        <v>117</v>
      </c>
      <c r="AA22" s="206" t="s">
        <v>552</v>
      </c>
      <c r="AB22" s="206" t="s">
        <v>121</v>
      </c>
      <c r="AC22" s="206" t="s">
        <v>124</v>
      </c>
      <c r="AD22" s="206" t="s">
        <v>553</v>
      </c>
    </row>
    <row r="23" spans="1:30" ht="30" customHeight="1" x14ac:dyDescent="0.25">
      <c r="A23" s="197" t="s">
        <v>554</v>
      </c>
      <c r="B23" s="303"/>
      <c r="C23" s="306">
        <v>5</v>
      </c>
      <c r="D23" s="201" t="s">
        <v>299</v>
      </c>
      <c r="E23" s="206" t="s">
        <v>555</v>
      </c>
      <c r="F23" s="203" t="s">
        <v>556</v>
      </c>
      <c r="G23" s="206" t="s">
        <v>557</v>
      </c>
      <c r="H23" s="206" t="s">
        <v>558</v>
      </c>
      <c r="I23" s="206" t="s">
        <v>559</v>
      </c>
      <c r="J23" s="206" t="s">
        <v>560</v>
      </c>
      <c r="K23" s="219" t="s">
        <v>131</v>
      </c>
      <c r="L23" s="242" t="s">
        <v>233</v>
      </c>
      <c r="M23" s="219" t="s">
        <v>561</v>
      </c>
      <c r="N23" s="224" t="s">
        <v>562</v>
      </c>
      <c r="O23" s="206" t="s">
        <v>563</v>
      </c>
      <c r="P23" s="225" t="s">
        <v>564</v>
      </c>
      <c r="Q23" s="206" t="s">
        <v>565</v>
      </c>
      <c r="R23" s="203" t="s">
        <v>566</v>
      </c>
      <c r="S23" s="203" t="s">
        <v>567</v>
      </c>
      <c r="T23" s="252" t="s">
        <v>235</v>
      </c>
      <c r="U23" s="227" t="s">
        <v>568</v>
      </c>
      <c r="V23" s="206" t="s">
        <v>569</v>
      </c>
      <c r="W23" s="206" t="s">
        <v>570</v>
      </c>
      <c r="X23" s="227" t="s">
        <v>571</v>
      </c>
      <c r="Y23" s="206" t="s">
        <v>572</v>
      </c>
      <c r="Z23" s="237" t="s">
        <v>573</v>
      </c>
      <c r="AA23" s="225" t="s">
        <v>574</v>
      </c>
      <c r="AB23" s="203" t="s">
        <v>575</v>
      </c>
      <c r="AC23" s="203" t="s">
        <v>576</v>
      </c>
      <c r="AD23" s="225" t="s">
        <v>577</v>
      </c>
    </row>
    <row r="24" spans="1:30" ht="30" customHeight="1" x14ac:dyDescent="0.25">
      <c r="A24" s="197" t="s">
        <v>578</v>
      </c>
      <c r="B24" s="303"/>
      <c r="C24" s="306"/>
      <c r="D24" s="201" t="s">
        <v>324</v>
      </c>
      <c r="E24" s="206" t="s">
        <v>50</v>
      </c>
      <c r="F24" s="206" t="s">
        <v>18</v>
      </c>
      <c r="G24" s="203" t="s">
        <v>58</v>
      </c>
      <c r="H24" s="206" t="s">
        <v>579</v>
      </c>
      <c r="I24" s="225" t="s">
        <v>69</v>
      </c>
      <c r="J24" s="225" t="s">
        <v>580</v>
      </c>
      <c r="K24" s="220" t="s">
        <v>131</v>
      </c>
      <c r="L24" s="242" t="s">
        <v>581</v>
      </c>
      <c r="M24" s="219" t="s">
        <v>582</v>
      </c>
      <c r="N24" s="229" t="s">
        <v>583</v>
      </c>
      <c r="O24" s="225" t="s">
        <v>584</v>
      </c>
      <c r="P24" s="227" t="s">
        <v>585</v>
      </c>
      <c r="Q24" s="227" t="s">
        <v>94</v>
      </c>
      <c r="R24" s="206" t="s">
        <v>47</v>
      </c>
      <c r="S24" s="206" t="s">
        <v>99</v>
      </c>
      <c r="T24" s="252" t="s">
        <v>104</v>
      </c>
      <c r="U24" s="227" t="s">
        <v>586</v>
      </c>
      <c r="V24" s="206" t="s">
        <v>587</v>
      </c>
      <c r="W24" s="227" t="s">
        <v>111</v>
      </c>
      <c r="X24" s="227" t="s">
        <v>588</v>
      </c>
      <c r="Y24" s="206" t="s">
        <v>589</v>
      </c>
      <c r="Z24" s="217" t="s">
        <v>118</v>
      </c>
      <c r="AA24" s="206" t="s">
        <v>590</v>
      </c>
      <c r="AB24" s="227" t="s">
        <v>122</v>
      </c>
      <c r="AC24" s="206" t="s">
        <v>125</v>
      </c>
      <c r="AD24" s="206" t="s">
        <v>591</v>
      </c>
    </row>
    <row r="25" spans="1:30" ht="30" customHeight="1" x14ac:dyDescent="0.25">
      <c r="A25" s="197" t="s">
        <v>592</v>
      </c>
      <c r="B25" s="303"/>
      <c r="C25" s="195">
        <v>6</v>
      </c>
      <c r="D25" s="201" t="s">
        <v>324</v>
      </c>
      <c r="E25" s="206" t="s">
        <v>227</v>
      </c>
      <c r="F25" s="206" t="s">
        <v>593</v>
      </c>
      <c r="G25" s="227" t="s">
        <v>594</v>
      </c>
      <c r="H25" s="225" t="s">
        <v>595</v>
      </c>
      <c r="I25" s="227" t="s">
        <v>596</v>
      </c>
      <c r="J25" s="227" t="s">
        <v>597</v>
      </c>
      <c r="K25" s="219" t="s">
        <v>131</v>
      </c>
      <c r="L25" s="243" t="s">
        <v>598</v>
      </c>
      <c r="M25" s="219" t="s">
        <v>599</v>
      </c>
      <c r="N25" s="224" t="s">
        <v>600</v>
      </c>
      <c r="O25" s="227" t="s">
        <v>601</v>
      </c>
      <c r="P25" s="206" t="s">
        <v>602</v>
      </c>
      <c r="Q25" s="227" t="s">
        <v>603</v>
      </c>
      <c r="R25" s="225" t="s">
        <v>604</v>
      </c>
      <c r="S25" s="203" t="s">
        <v>605</v>
      </c>
      <c r="T25" s="227" t="s">
        <v>606</v>
      </c>
      <c r="U25" s="227" t="s">
        <v>607</v>
      </c>
      <c r="V25" s="225" t="s">
        <v>608</v>
      </c>
      <c r="W25" s="227" t="s">
        <v>609</v>
      </c>
      <c r="X25" s="206" t="s">
        <v>610</v>
      </c>
      <c r="Y25" s="225" t="s">
        <v>611</v>
      </c>
      <c r="Z25" s="217" t="s">
        <v>612</v>
      </c>
      <c r="AA25" s="206" t="s">
        <v>613</v>
      </c>
      <c r="AB25" s="206" t="s">
        <v>614</v>
      </c>
      <c r="AC25" s="206" t="s">
        <v>615</v>
      </c>
      <c r="AD25" s="206" t="s">
        <v>616</v>
      </c>
    </row>
    <row r="26" spans="1:30" ht="30" customHeight="1" thickBot="1" x14ac:dyDescent="0.3">
      <c r="A26" s="198" t="s">
        <v>617</v>
      </c>
      <c r="B26" s="304"/>
      <c r="C26" s="204">
        <v>9</v>
      </c>
      <c r="D26" s="205" t="s">
        <v>324</v>
      </c>
      <c r="E26" s="233" t="s">
        <v>8</v>
      </c>
      <c r="F26" s="203" t="s">
        <v>618</v>
      </c>
      <c r="G26" s="233" t="s">
        <v>619</v>
      </c>
      <c r="H26" s="233" t="s">
        <v>620</v>
      </c>
      <c r="I26" s="233" t="s">
        <v>621</v>
      </c>
      <c r="J26" s="233" t="s">
        <v>622</v>
      </c>
      <c r="K26" s="244" t="s">
        <v>131</v>
      </c>
      <c r="L26" s="245" t="s">
        <v>623</v>
      </c>
      <c r="M26" s="234" t="s">
        <v>624</v>
      </c>
      <c r="N26" s="241" t="s">
        <v>625</v>
      </c>
      <c r="O26" s="233" t="s">
        <v>626</v>
      </c>
      <c r="P26" s="203" t="s">
        <v>627</v>
      </c>
      <c r="Q26" s="233" t="s">
        <v>628</v>
      </c>
      <c r="R26" s="233" t="s">
        <v>629</v>
      </c>
      <c r="S26" s="203" t="s">
        <v>630</v>
      </c>
      <c r="T26" s="233" t="s">
        <v>631</v>
      </c>
      <c r="U26" s="233" t="s">
        <v>632</v>
      </c>
      <c r="V26" s="233" t="s">
        <v>633</v>
      </c>
      <c r="W26" s="233" t="s">
        <v>634</v>
      </c>
      <c r="X26" s="246" t="s">
        <v>635</v>
      </c>
      <c r="Y26" s="233" t="s">
        <v>636</v>
      </c>
      <c r="Z26" s="237" t="s">
        <v>637</v>
      </c>
      <c r="AA26" s="246" t="s">
        <v>638</v>
      </c>
      <c r="AB26" s="246" t="s">
        <v>639</v>
      </c>
      <c r="AC26" s="246" t="s">
        <v>640</v>
      </c>
      <c r="AD26" s="246" t="s">
        <v>641</v>
      </c>
    </row>
    <row r="27" spans="1:30" ht="30" customHeight="1" x14ac:dyDescent="0.25">
      <c r="A27" s="255" t="s">
        <v>642</v>
      </c>
      <c r="B27" s="307" t="s">
        <v>914</v>
      </c>
      <c r="C27" s="305">
        <v>1</v>
      </c>
      <c r="D27" s="200" t="s">
        <v>299</v>
      </c>
      <c r="E27" s="206" t="s">
        <v>643</v>
      </c>
      <c r="F27" s="216" t="s">
        <v>644</v>
      </c>
      <c r="G27" s="209" t="s">
        <v>645</v>
      </c>
      <c r="H27" s="216" t="s">
        <v>646</v>
      </c>
      <c r="I27" s="216" t="s">
        <v>647</v>
      </c>
      <c r="J27" s="216" t="s">
        <v>648</v>
      </c>
      <c r="K27" s="211" t="s">
        <v>131</v>
      </c>
      <c r="L27" s="238" t="s">
        <v>649</v>
      </c>
      <c r="M27" s="212" t="s">
        <v>650</v>
      </c>
      <c r="N27" s="214" t="s">
        <v>651</v>
      </c>
      <c r="O27" s="216" t="s">
        <v>652</v>
      </c>
      <c r="P27" s="216" t="s">
        <v>653</v>
      </c>
      <c r="Q27" s="216" t="s">
        <v>654</v>
      </c>
      <c r="R27" s="216" t="s">
        <v>655</v>
      </c>
      <c r="S27" s="209" t="s">
        <v>656</v>
      </c>
      <c r="T27" s="247" t="s">
        <v>657</v>
      </c>
      <c r="U27" s="209" t="s">
        <v>658</v>
      </c>
      <c r="V27" s="216" t="s">
        <v>659</v>
      </c>
      <c r="W27" s="216" t="s">
        <v>660</v>
      </c>
      <c r="X27" s="209" t="s">
        <v>661</v>
      </c>
      <c r="Y27" s="209" t="s">
        <v>662</v>
      </c>
      <c r="Z27" s="209" t="s">
        <v>663</v>
      </c>
      <c r="AA27" s="216" t="s">
        <v>664</v>
      </c>
      <c r="AB27" s="209" t="s">
        <v>665</v>
      </c>
      <c r="AC27" s="209" t="s">
        <v>666</v>
      </c>
      <c r="AD27" s="209" t="s">
        <v>667</v>
      </c>
    </row>
    <row r="28" spans="1:30" ht="30" customHeight="1" x14ac:dyDescent="0.25">
      <c r="A28" s="208" t="s">
        <v>668</v>
      </c>
      <c r="B28" s="308"/>
      <c r="C28" s="306"/>
      <c r="D28" s="201" t="s">
        <v>324</v>
      </c>
      <c r="E28" s="206" t="s">
        <v>669</v>
      </c>
      <c r="F28" s="206" t="s">
        <v>670</v>
      </c>
      <c r="G28" s="225" t="s">
        <v>671</v>
      </c>
      <c r="H28" s="206" t="s">
        <v>672</v>
      </c>
      <c r="I28" s="206" t="s">
        <v>673</v>
      </c>
      <c r="J28" s="227" t="s">
        <v>674</v>
      </c>
      <c r="K28" s="218" t="s">
        <v>131</v>
      </c>
      <c r="L28" s="235" t="s">
        <v>675</v>
      </c>
      <c r="M28" s="219" t="s">
        <v>676</v>
      </c>
      <c r="N28" s="222" t="s">
        <v>677</v>
      </c>
      <c r="O28" s="227" t="s">
        <v>678</v>
      </c>
      <c r="P28" s="206" t="s">
        <v>679</v>
      </c>
      <c r="Q28" s="206" t="s">
        <v>680</v>
      </c>
      <c r="R28" s="227" t="s">
        <v>681</v>
      </c>
      <c r="S28" s="225" t="s">
        <v>682</v>
      </c>
      <c r="T28" s="206" t="s">
        <v>683</v>
      </c>
      <c r="U28" s="225" t="s">
        <v>684</v>
      </c>
      <c r="V28" s="206" t="s">
        <v>685</v>
      </c>
      <c r="W28" s="227" t="s">
        <v>686</v>
      </c>
      <c r="X28" s="206" t="s">
        <v>687</v>
      </c>
      <c r="Y28" s="206" t="s">
        <v>688</v>
      </c>
      <c r="Z28" s="206" t="s">
        <v>689</v>
      </c>
      <c r="AA28" s="206" t="s">
        <v>690</v>
      </c>
      <c r="AB28" s="225" t="s">
        <v>691</v>
      </c>
      <c r="AC28" s="203" t="s">
        <v>692</v>
      </c>
      <c r="AD28" s="203" t="s">
        <v>693</v>
      </c>
    </row>
    <row r="29" spans="1:30" ht="30" customHeight="1" x14ac:dyDescent="0.25">
      <c r="A29" s="197" t="s">
        <v>694</v>
      </c>
      <c r="B29" s="308"/>
      <c r="C29" s="306">
        <v>2</v>
      </c>
      <c r="D29" s="201" t="s">
        <v>299</v>
      </c>
      <c r="E29" s="206" t="s">
        <v>9</v>
      </c>
      <c r="F29" s="206" t="s">
        <v>19</v>
      </c>
      <c r="G29" s="206" t="s">
        <v>59</v>
      </c>
      <c r="H29" s="206" t="s">
        <v>63</v>
      </c>
      <c r="I29" s="225" t="s">
        <v>70</v>
      </c>
      <c r="J29" s="206" t="s">
        <v>171</v>
      </c>
      <c r="K29" s="218" t="s">
        <v>131</v>
      </c>
      <c r="L29" s="242" t="s">
        <v>43</v>
      </c>
      <c r="M29" s="219" t="s">
        <v>695</v>
      </c>
      <c r="N29" s="224" t="s">
        <v>177</v>
      </c>
      <c r="O29" s="227" t="s">
        <v>210</v>
      </c>
      <c r="P29" s="206" t="s">
        <v>88</v>
      </c>
      <c r="Q29" s="225" t="s">
        <v>696</v>
      </c>
      <c r="R29" s="206" t="s">
        <v>182</v>
      </c>
      <c r="S29" s="206" t="s">
        <v>185</v>
      </c>
      <c r="T29" s="230" t="s">
        <v>697</v>
      </c>
      <c r="U29" s="206" t="s">
        <v>190</v>
      </c>
      <c r="V29" s="206" t="s">
        <v>194</v>
      </c>
      <c r="W29" s="227" t="s">
        <v>698</v>
      </c>
      <c r="X29" s="225" t="s">
        <v>699</v>
      </c>
      <c r="Y29" s="206" t="s">
        <v>700</v>
      </c>
      <c r="Z29" s="206" t="s">
        <v>119</v>
      </c>
      <c r="AA29" s="203" t="s">
        <v>701</v>
      </c>
      <c r="AB29" s="206" t="s">
        <v>702</v>
      </c>
      <c r="AC29" s="206" t="s">
        <v>126</v>
      </c>
      <c r="AD29" s="206" t="s">
        <v>128</v>
      </c>
    </row>
    <row r="30" spans="1:30" ht="30" customHeight="1" x14ac:dyDescent="0.25">
      <c r="A30" s="256" t="s">
        <v>703</v>
      </c>
      <c r="B30" s="308"/>
      <c r="C30" s="306"/>
      <c r="D30" s="201" t="s">
        <v>324</v>
      </c>
      <c r="E30" s="206" t="s">
        <v>10</v>
      </c>
      <c r="F30" s="206" t="s">
        <v>20</v>
      </c>
      <c r="G30" s="206" t="s">
        <v>48</v>
      </c>
      <c r="H30" s="227" t="s">
        <v>64</v>
      </c>
      <c r="I30" s="227" t="s">
        <v>71</v>
      </c>
      <c r="J30" s="206" t="s">
        <v>77</v>
      </c>
      <c r="K30" s="218" t="s">
        <v>131</v>
      </c>
      <c r="L30" s="242" t="s">
        <v>81</v>
      </c>
      <c r="M30" s="219" t="s">
        <v>704</v>
      </c>
      <c r="N30" s="217" t="s">
        <v>84</v>
      </c>
      <c r="O30" s="206" t="s">
        <v>705</v>
      </c>
      <c r="P30" s="206" t="s">
        <v>89</v>
      </c>
      <c r="Q30" s="227" t="s">
        <v>706</v>
      </c>
      <c r="R30" s="225" t="s">
        <v>96</v>
      </c>
      <c r="S30" s="203" t="s">
        <v>186</v>
      </c>
      <c r="T30" s="206" t="s">
        <v>707</v>
      </c>
      <c r="U30" s="207" t="s">
        <v>708</v>
      </c>
      <c r="V30" s="225" t="s">
        <v>709</v>
      </c>
      <c r="W30" s="206" t="s">
        <v>710</v>
      </c>
      <c r="X30" s="227" t="s">
        <v>711</v>
      </c>
      <c r="Y30" s="206" t="s">
        <v>712</v>
      </c>
      <c r="Z30" s="206" t="s">
        <v>713</v>
      </c>
      <c r="AA30" s="225" t="s">
        <v>714</v>
      </c>
      <c r="AB30" s="206" t="s">
        <v>715</v>
      </c>
      <c r="AC30" s="206" t="s">
        <v>716</v>
      </c>
      <c r="AD30" s="206" t="s">
        <v>717</v>
      </c>
    </row>
    <row r="31" spans="1:30" ht="30" customHeight="1" x14ac:dyDescent="0.25">
      <c r="A31" s="208" t="s">
        <v>718</v>
      </c>
      <c r="B31" s="308"/>
      <c r="C31" s="306">
        <v>3</v>
      </c>
      <c r="D31" s="201" t="s">
        <v>299</v>
      </c>
      <c r="E31" s="206" t="s">
        <v>11</v>
      </c>
      <c r="F31" s="206" t="s">
        <v>21</v>
      </c>
      <c r="G31" s="206" t="s">
        <v>36</v>
      </c>
      <c r="H31" s="206" t="s">
        <v>164</v>
      </c>
      <c r="I31" s="206" t="s">
        <v>72</v>
      </c>
      <c r="J31" s="225" t="s">
        <v>719</v>
      </c>
      <c r="K31" s="219" t="s">
        <v>131</v>
      </c>
      <c r="L31" s="242" t="s">
        <v>44</v>
      </c>
      <c r="M31" s="219" t="s">
        <v>720</v>
      </c>
      <c r="N31" s="224" t="s">
        <v>721</v>
      </c>
      <c r="O31" s="206" t="s">
        <v>722</v>
      </c>
      <c r="P31" s="206" t="s">
        <v>90</v>
      </c>
      <c r="Q31" s="206" t="s">
        <v>723</v>
      </c>
      <c r="R31" s="227" t="s">
        <v>724</v>
      </c>
      <c r="S31" s="206" t="s">
        <v>725</v>
      </c>
      <c r="T31" s="252" t="s">
        <v>105</v>
      </c>
      <c r="U31" s="203" t="s">
        <v>191</v>
      </c>
      <c r="V31" s="206" t="s">
        <v>726</v>
      </c>
      <c r="W31" s="206" t="s">
        <v>112</v>
      </c>
      <c r="X31" s="227" t="s">
        <v>727</v>
      </c>
      <c r="Y31" s="206" t="s">
        <v>728</v>
      </c>
      <c r="Z31" s="203" t="s">
        <v>203</v>
      </c>
      <c r="AA31" s="206" t="s">
        <v>729</v>
      </c>
      <c r="AB31" s="206" t="s">
        <v>730</v>
      </c>
      <c r="AC31" s="206" t="s">
        <v>731</v>
      </c>
      <c r="AD31" s="206" t="s">
        <v>732</v>
      </c>
    </row>
    <row r="32" spans="1:30" ht="30" customHeight="1" x14ac:dyDescent="0.25">
      <c r="A32" s="197" t="s">
        <v>733</v>
      </c>
      <c r="B32" s="308"/>
      <c r="C32" s="306"/>
      <c r="D32" s="201" t="s">
        <v>324</v>
      </c>
      <c r="E32" s="206" t="s">
        <v>12</v>
      </c>
      <c r="F32" s="206" t="s">
        <v>22</v>
      </c>
      <c r="G32" s="206" t="s">
        <v>37</v>
      </c>
      <c r="H32" s="227" t="s">
        <v>65</v>
      </c>
      <c r="I32" s="225" t="s">
        <v>73</v>
      </c>
      <c r="J32" s="206" t="s">
        <v>172</v>
      </c>
      <c r="K32" s="219" t="s">
        <v>131</v>
      </c>
      <c r="L32" s="242" t="s">
        <v>45</v>
      </c>
      <c r="M32" s="219" t="s">
        <v>734</v>
      </c>
      <c r="N32" s="224" t="s">
        <v>735</v>
      </c>
      <c r="O32" s="225" t="s">
        <v>736</v>
      </c>
      <c r="P32" s="225" t="s">
        <v>737</v>
      </c>
      <c r="Q32" s="225" t="s">
        <v>738</v>
      </c>
      <c r="R32" s="227" t="s">
        <v>739</v>
      </c>
      <c r="S32" s="225" t="s">
        <v>130</v>
      </c>
      <c r="T32" s="206" t="s">
        <v>740</v>
      </c>
      <c r="U32" s="257" t="s">
        <v>107</v>
      </c>
      <c r="V32" s="206" t="s">
        <v>741</v>
      </c>
      <c r="W32" s="203" t="s">
        <v>197</v>
      </c>
      <c r="X32" s="206" t="s">
        <v>742</v>
      </c>
      <c r="Y32" s="225" t="s">
        <v>743</v>
      </c>
      <c r="Z32" s="227" t="s">
        <v>29</v>
      </c>
      <c r="AA32" s="203" t="s">
        <v>744</v>
      </c>
      <c r="AB32" s="206" t="s">
        <v>205</v>
      </c>
      <c r="AC32" s="206" t="s">
        <v>745</v>
      </c>
      <c r="AD32" s="206" t="s">
        <v>746</v>
      </c>
    </row>
    <row r="33" spans="1:30" ht="30" customHeight="1" x14ac:dyDescent="0.25">
      <c r="A33" s="208" t="s">
        <v>747</v>
      </c>
      <c r="B33" s="308"/>
      <c r="C33" s="306">
        <v>4</v>
      </c>
      <c r="D33" s="201" t="s">
        <v>299</v>
      </c>
      <c r="E33" s="206" t="s">
        <v>143</v>
      </c>
      <c r="F33" s="227" t="s">
        <v>23</v>
      </c>
      <c r="G33" s="206" t="s">
        <v>748</v>
      </c>
      <c r="H33" s="227" t="s">
        <v>749</v>
      </c>
      <c r="I33" s="206" t="s">
        <v>74</v>
      </c>
      <c r="J33" s="225" t="s">
        <v>750</v>
      </c>
      <c r="K33" s="220" t="s">
        <v>131</v>
      </c>
      <c r="L33" s="243" t="s">
        <v>82</v>
      </c>
      <c r="M33" s="219" t="s">
        <v>751</v>
      </c>
      <c r="N33" s="224" t="s">
        <v>752</v>
      </c>
      <c r="O33" s="227" t="s">
        <v>753</v>
      </c>
      <c r="P33" s="206" t="s">
        <v>179</v>
      </c>
      <c r="Q33" s="206" t="s">
        <v>754</v>
      </c>
      <c r="R33" s="227" t="s">
        <v>755</v>
      </c>
      <c r="S33" s="206" t="s">
        <v>187</v>
      </c>
      <c r="T33" s="206" t="s">
        <v>106</v>
      </c>
      <c r="U33" s="206" t="s">
        <v>192</v>
      </c>
      <c r="V33" s="227" t="s">
        <v>756</v>
      </c>
      <c r="W33" s="206" t="s">
        <v>113</v>
      </c>
      <c r="X33" s="225" t="s">
        <v>757</v>
      </c>
      <c r="Y33" s="227" t="s">
        <v>758</v>
      </c>
      <c r="Z33" s="206" t="s">
        <v>759</v>
      </c>
      <c r="AA33" s="203" t="s">
        <v>760</v>
      </c>
      <c r="AB33" s="206" t="s">
        <v>761</v>
      </c>
      <c r="AC33" s="206" t="s">
        <v>762</v>
      </c>
      <c r="AD33" s="206" t="s">
        <v>763</v>
      </c>
    </row>
    <row r="34" spans="1:30" ht="30" customHeight="1" x14ac:dyDescent="0.25">
      <c r="A34" s="208" t="s">
        <v>764</v>
      </c>
      <c r="B34" s="308"/>
      <c r="C34" s="306"/>
      <c r="D34" s="201" t="s">
        <v>324</v>
      </c>
      <c r="E34" s="206" t="s">
        <v>13</v>
      </c>
      <c r="F34" s="206" t="s">
        <v>148</v>
      </c>
      <c r="G34" s="225" t="s">
        <v>161</v>
      </c>
      <c r="H34" s="227" t="s">
        <v>165</v>
      </c>
      <c r="I34" s="225" t="s">
        <v>167</v>
      </c>
      <c r="J34" s="227" t="s">
        <v>173</v>
      </c>
      <c r="K34" s="218" t="s">
        <v>131</v>
      </c>
      <c r="L34" s="242" t="s">
        <v>174</v>
      </c>
      <c r="M34" s="219" t="s">
        <v>765</v>
      </c>
      <c r="N34" s="229" t="s">
        <v>766</v>
      </c>
      <c r="O34" s="227" t="s">
        <v>767</v>
      </c>
      <c r="P34" s="206" t="s">
        <v>91</v>
      </c>
      <c r="Q34" s="225" t="s">
        <v>768</v>
      </c>
      <c r="R34" s="227" t="s">
        <v>183</v>
      </c>
      <c r="S34" s="227" t="s">
        <v>188</v>
      </c>
      <c r="T34" s="230" t="s">
        <v>189</v>
      </c>
      <c r="U34" s="227" t="s">
        <v>193</v>
      </c>
      <c r="V34" s="206" t="s">
        <v>769</v>
      </c>
      <c r="W34" s="206" t="s">
        <v>114</v>
      </c>
      <c r="X34" s="206" t="s">
        <v>770</v>
      </c>
      <c r="Y34" s="227" t="s">
        <v>771</v>
      </c>
      <c r="Z34" s="225" t="s">
        <v>772</v>
      </c>
      <c r="AA34" s="203" t="s">
        <v>773</v>
      </c>
      <c r="AB34" s="206" t="s">
        <v>206</v>
      </c>
      <c r="AC34" s="206" t="s">
        <v>774</v>
      </c>
      <c r="AD34" s="206" t="s">
        <v>775</v>
      </c>
    </row>
    <row r="35" spans="1:30" ht="30" customHeight="1" x14ac:dyDescent="0.25">
      <c r="A35" s="208" t="s">
        <v>776</v>
      </c>
      <c r="B35" s="308"/>
      <c r="C35" s="306">
        <v>5</v>
      </c>
      <c r="D35" s="201" t="s">
        <v>299</v>
      </c>
      <c r="E35" s="206" t="s">
        <v>14</v>
      </c>
      <c r="F35" s="206" t="s">
        <v>24</v>
      </c>
      <c r="G35" s="227" t="s">
        <v>777</v>
      </c>
      <c r="H35" s="227" t="s">
        <v>778</v>
      </c>
      <c r="I35" s="227" t="s">
        <v>779</v>
      </c>
      <c r="J35" s="227" t="s">
        <v>780</v>
      </c>
      <c r="K35" s="219" t="s">
        <v>131</v>
      </c>
      <c r="L35" s="243" t="s">
        <v>175</v>
      </c>
      <c r="M35" s="219" t="s">
        <v>781</v>
      </c>
      <c r="N35" s="222" t="s">
        <v>782</v>
      </c>
      <c r="O35" s="206" t="s">
        <v>783</v>
      </c>
      <c r="P35" s="206" t="s">
        <v>180</v>
      </c>
      <c r="Q35" s="227" t="s">
        <v>784</v>
      </c>
      <c r="R35" s="227" t="s">
        <v>785</v>
      </c>
      <c r="S35" s="227" t="s">
        <v>786</v>
      </c>
      <c r="T35" s="227" t="s">
        <v>787</v>
      </c>
      <c r="U35" s="227" t="s">
        <v>788</v>
      </c>
      <c r="V35" s="203" t="s">
        <v>789</v>
      </c>
      <c r="W35" s="225" t="s">
        <v>790</v>
      </c>
      <c r="X35" s="206" t="s">
        <v>791</v>
      </c>
      <c r="Y35" s="206" t="s">
        <v>792</v>
      </c>
      <c r="Z35" s="227" t="s">
        <v>434</v>
      </c>
      <c r="AA35" s="225" t="s">
        <v>793</v>
      </c>
      <c r="AB35" s="206" t="s">
        <v>794</v>
      </c>
      <c r="AC35" s="206" t="s">
        <v>795</v>
      </c>
      <c r="AD35" s="206" t="s">
        <v>796</v>
      </c>
    </row>
    <row r="36" spans="1:30" ht="30" customHeight="1" thickBot="1" x14ac:dyDescent="0.3">
      <c r="A36" s="198" t="s">
        <v>797</v>
      </c>
      <c r="B36" s="309"/>
      <c r="C36" s="310"/>
      <c r="D36" s="205" t="s">
        <v>324</v>
      </c>
      <c r="E36" s="233" t="s">
        <v>15</v>
      </c>
      <c r="F36" s="203" t="s">
        <v>159</v>
      </c>
      <c r="G36" s="206" t="s">
        <v>230</v>
      </c>
      <c r="H36" s="233" t="s">
        <v>166</v>
      </c>
      <c r="I36" s="233" t="s">
        <v>168</v>
      </c>
      <c r="J36" s="233" t="s">
        <v>798</v>
      </c>
      <c r="K36" s="244" t="s">
        <v>131</v>
      </c>
      <c r="L36" s="245" t="s">
        <v>176</v>
      </c>
      <c r="M36" s="234" t="s">
        <v>799</v>
      </c>
      <c r="N36" s="236" t="s">
        <v>800</v>
      </c>
      <c r="O36" s="203" t="s">
        <v>801</v>
      </c>
      <c r="P36" s="203" t="s">
        <v>802</v>
      </c>
      <c r="Q36" s="233" t="s">
        <v>803</v>
      </c>
      <c r="R36" s="233" t="s">
        <v>184</v>
      </c>
      <c r="S36" s="233" t="s">
        <v>804</v>
      </c>
      <c r="T36" s="233" t="s">
        <v>805</v>
      </c>
      <c r="U36" s="233" t="s">
        <v>806</v>
      </c>
      <c r="V36" s="203" t="s">
        <v>807</v>
      </c>
      <c r="W36" s="233" t="s">
        <v>198</v>
      </c>
      <c r="X36" s="203" t="s">
        <v>808</v>
      </c>
      <c r="Y36" s="233" t="s">
        <v>809</v>
      </c>
      <c r="Z36" s="233" t="s">
        <v>810</v>
      </c>
      <c r="AA36" s="233" t="s">
        <v>811</v>
      </c>
      <c r="AB36" s="203" t="s">
        <v>207</v>
      </c>
      <c r="AC36" s="203" t="s">
        <v>812</v>
      </c>
      <c r="AD36" s="203" t="s">
        <v>813</v>
      </c>
    </row>
    <row r="37" spans="1:30" ht="30" customHeight="1" x14ac:dyDescent="0.25">
      <c r="A37" s="192" t="s">
        <v>814</v>
      </c>
      <c r="B37" s="302" t="s">
        <v>915</v>
      </c>
      <c r="C37" s="193">
        <v>1</v>
      </c>
      <c r="D37" s="200" t="s">
        <v>299</v>
      </c>
      <c r="E37" s="206" t="s">
        <v>144</v>
      </c>
      <c r="F37" s="209" t="s">
        <v>815</v>
      </c>
      <c r="G37" s="227" t="s">
        <v>162</v>
      </c>
      <c r="H37" s="216" t="s">
        <v>816</v>
      </c>
      <c r="I37" s="209" t="s">
        <v>817</v>
      </c>
      <c r="J37" s="209" t="s">
        <v>818</v>
      </c>
      <c r="K37" s="211" t="s">
        <v>131</v>
      </c>
      <c r="L37" s="238" t="s">
        <v>819</v>
      </c>
      <c r="M37" s="212" t="s">
        <v>820</v>
      </c>
      <c r="N37" s="214" t="s">
        <v>821</v>
      </c>
      <c r="O37" s="209" t="s">
        <v>178</v>
      </c>
      <c r="P37" s="209" t="s">
        <v>822</v>
      </c>
      <c r="Q37" s="209" t="s">
        <v>823</v>
      </c>
      <c r="R37" s="209" t="s">
        <v>824</v>
      </c>
      <c r="S37" s="209" t="s">
        <v>825</v>
      </c>
      <c r="T37" s="216" t="s">
        <v>826</v>
      </c>
      <c r="U37" s="210" t="s">
        <v>827</v>
      </c>
      <c r="V37" s="209" t="s">
        <v>195</v>
      </c>
      <c r="W37" s="209" t="s">
        <v>828</v>
      </c>
      <c r="X37" s="209" t="s">
        <v>829</v>
      </c>
      <c r="Y37" s="209" t="s">
        <v>201</v>
      </c>
      <c r="Z37" s="209" t="s">
        <v>204</v>
      </c>
      <c r="AA37" s="209" t="s">
        <v>830</v>
      </c>
      <c r="AB37" s="209" t="s">
        <v>831</v>
      </c>
      <c r="AC37" s="209" t="s">
        <v>209</v>
      </c>
      <c r="AD37" s="209" t="s">
        <v>832</v>
      </c>
    </row>
    <row r="38" spans="1:30" ht="30" customHeight="1" x14ac:dyDescent="0.25">
      <c r="A38" s="256" t="s">
        <v>833</v>
      </c>
      <c r="B38" s="303"/>
      <c r="C38" s="306">
        <v>2</v>
      </c>
      <c r="D38" s="201" t="s">
        <v>299</v>
      </c>
      <c r="E38" s="206" t="s">
        <v>16</v>
      </c>
      <c r="F38" s="206" t="s">
        <v>25</v>
      </c>
      <c r="G38" s="206" t="s">
        <v>38</v>
      </c>
      <c r="H38" s="227" t="s">
        <v>834</v>
      </c>
      <c r="I38" s="206" t="s">
        <v>169</v>
      </c>
      <c r="J38" s="225" t="s">
        <v>41</v>
      </c>
      <c r="K38" s="218" t="s">
        <v>131</v>
      </c>
      <c r="L38" s="243" t="s">
        <v>83</v>
      </c>
      <c r="M38" s="206" t="s">
        <v>216</v>
      </c>
      <c r="N38" s="222" t="s">
        <v>835</v>
      </c>
      <c r="O38" s="227" t="s">
        <v>85</v>
      </c>
      <c r="P38" s="254" t="s">
        <v>92</v>
      </c>
      <c r="Q38" s="206" t="s">
        <v>95</v>
      </c>
      <c r="R38" s="206" t="s">
        <v>836</v>
      </c>
      <c r="S38" s="206" t="s">
        <v>100</v>
      </c>
      <c r="T38" s="206" t="s">
        <v>837</v>
      </c>
      <c r="U38" s="206" t="s">
        <v>838</v>
      </c>
      <c r="V38" s="257" t="s">
        <v>108</v>
      </c>
      <c r="W38" s="225" t="s">
        <v>839</v>
      </c>
      <c r="X38" s="227" t="s">
        <v>115</v>
      </c>
      <c r="Y38" s="227" t="s">
        <v>26</v>
      </c>
      <c r="Z38" s="206" t="s">
        <v>30</v>
      </c>
      <c r="AA38" s="206" t="s">
        <v>32</v>
      </c>
      <c r="AB38" s="206" t="s">
        <v>33</v>
      </c>
      <c r="AC38" s="206" t="s">
        <v>127</v>
      </c>
      <c r="AD38" s="206" t="s">
        <v>129</v>
      </c>
    </row>
    <row r="39" spans="1:30" ht="30" customHeight="1" x14ac:dyDescent="0.25">
      <c r="A39" s="208" t="s">
        <v>840</v>
      </c>
      <c r="B39" s="303"/>
      <c r="C39" s="306"/>
      <c r="D39" s="201" t="s">
        <v>324</v>
      </c>
      <c r="E39" s="206" t="s">
        <v>841</v>
      </c>
      <c r="F39" s="225" t="s">
        <v>842</v>
      </c>
      <c r="G39" s="227" t="s">
        <v>843</v>
      </c>
      <c r="H39" s="227" t="s">
        <v>844</v>
      </c>
      <c r="I39" s="225" t="s">
        <v>845</v>
      </c>
      <c r="J39" s="227" t="s">
        <v>846</v>
      </c>
      <c r="K39" s="218" t="s">
        <v>131</v>
      </c>
      <c r="L39" s="248" t="s">
        <v>847</v>
      </c>
      <c r="M39" s="219" t="s">
        <v>848</v>
      </c>
      <c r="N39" s="222" t="s">
        <v>849</v>
      </c>
      <c r="O39" s="206" t="s">
        <v>850</v>
      </c>
      <c r="P39" s="206" t="s">
        <v>851</v>
      </c>
      <c r="Q39" s="206" t="s">
        <v>852</v>
      </c>
      <c r="R39" s="206" t="s">
        <v>853</v>
      </c>
      <c r="S39" s="225" t="s">
        <v>854</v>
      </c>
      <c r="T39" s="227" t="s">
        <v>855</v>
      </c>
      <c r="U39" s="225" t="s">
        <v>856</v>
      </c>
      <c r="V39" s="206" t="s">
        <v>857</v>
      </c>
      <c r="W39" s="206" t="s">
        <v>858</v>
      </c>
      <c r="X39" s="227" t="s">
        <v>859</v>
      </c>
      <c r="Y39" s="206" t="s">
        <v>860</v>
      </c>
      <c r="Z39" s="225" t="s">
        <v>861</v>
      </c>
      <c r="AA39" s="225" t="s">
        <v>862</v>
      </c>
      <c r="AB39" s="206" t="s">
        <v>863</v>
      </c>
      <c r="AC39" s="206" t="s">
        <v>864</v>
      </c>
      <c r="AD39" s="206" t="s">
        <v>865</v>
      </c>
    </row>
    <row r="40" spans="1:30" ht="30" customHeight="1" x14ac:dyDescent="0.25">
      <c r="A40" s="208" t="s">
        <v>866</v>
      </c>
      <c r="B40" s="303"/>
      <c r="C40" s="195">
        <v>3</v>
      </c>
      <c r="D40" s="201" t="s">
        <v>299</v>
      </c>
      <c r="E40" s="219" t="s">
        <v>145</v>
      </c>
      <c r="F40" s="218" t="s">
        <v>867</v>
      </c>
      <c r="G40" s="218" t="s">
        <v>163</v>
      </c>
      <c r="H40" s="219" t="s">
        <v>868</v>
      </c>
      <c r="I40" s="219" t="s">
        <v>170</v>
      </c>
      <c r="J40" s="218" t="s">
        <v>869</v>
      </c>
      <c r="K40" s="218" t="s">
        <v>131</v>
      </c>
      <c r="L40" s="228" t="s">
        <v>870</v>
      </c>
      <c r="M40" s="219" t="s">
        <v>871</v>
      </c>
      <c r="N40" s="224" t="s">
        <v>872</v>
      </c>
      <c r="O40" s="219" t="s">
        <v>873</v>
      </c>
      <c r="P40" s="219" t="s">
        <v>181</v>
      </c>
      <c r="Q40" s="219" t="s">
        <v>874</v>
      </c>
      <c r="R40" s="219" t="s">
        <v>875</v>
      </c>
      <c r="S40" s="219" t="s">
        <v>876</v>
      </c>
      <c r="T40" s="218" t="s">
        <v>877</v>
      </c>
      <c r="U40" s="218" t="s">
        <v>878</v>
      </c>
      <c r="V40" s="220" t="s">
        <v>879</v>
      </c>
      <c r="W40" s="219" t="s">
        <v>880</v>
      </c>
      <c r="X40" s="219" t="s">
        <v>881</v>
      </c>
      <c r="Y40" s="206" t="s">
        <v>882</v>
      </c>
      <c r="Z40" s="206" t="s">
        <v>883</v>
      </c>
      <c r="AA40" s="206" t="s">
        <v>884</v>
      </c>
      <c r="AB40" s="206" t="s">
        <v>885</v>
      </c>
      <c r="AC40" s="206" t="s">
        <v>886</v>
      </c>
      <c r="AD40" s="206" t="s">
        <v>887</v>
      </c>
    </row>
    <row r="41" spans="1:30" ht="30" customHeight="1" thickBot="1" x14ac:dyDescent="0.3">
      <c r="A41" s="198" t="s">
        <v>888</v>
      </c>
      <c r="B41" s="304"/>
      <c r="C41" s="204">
        <v>4</v>
      </c>
      <c r="D41" s="205" t="s">
        <v>299</v>
      </c>
      <c r="E41" s="234" t="s">
        <v>889</v>
      </c>
      <c r="F41" s="234" t="s">
        <v>890</v>
      </c>
      <c r="G41" s="234" t="s">
        <v>891</v>
      </c>
      <c r="H41" s="249" t="s">
        <v>892</v>
      </c>
      <c r="I41" s="249" t="s">
        <v>893</v>
      </c>
      <c r="J41" s="234" t="s">
        <v>894</v>
      </c>
      <c r="K41" s="234" t="s">
        <v>131</v>
      </c>
      <c r="L41" s="250" t="s">
        <v>895</v>
      </c>
      <c r="M41" s="234" t="s">
        <v>896</v>
      </c>
      <c r="N41" s="236" t="s">
        <v>897</v>
      </c>
      <c r="O41" s="234" t="s">
        <v>898</v>
      </c>
      <c r="P41" s="234" t="s">
        <v>899</v>
      </c>
      <c r="Q41" s="234" t="s">
        <v>900</v>
      </c>
      <c r="R41" s="234" t="s">
        <v>901</v>
      </c>
      <c r="S41" s="234" t="s">
        <v>902</v>
      </c>
      <c r="T41" s="234" t="s">
        <v>902</v>
      </c>
      <c r="U41" s="234" t="s">
        <v>903</v>
      </c>
      <c r="V41" s="234" t="s">
        <v>904</v>
      </c>
      <c r="W41" s="234" t="s">
        <v>905</v>
      </c>
      <c r="X41" s="234" t="s">
        <v>906</v>
      </c>
      <c r="Y41" s="234" t="s">
        <v>907</v>
      </c>
      <c r="Z41" s="234" t="s">
        <v>908</v>
      </c>
      <c r="AA41" s="234" t="s">
        <v>909</v>
      </c>
      <c r="AB41" s="234" t="s">
        <v>910</v>
      </c>
      <c r="AC41" s="234" t="s">
        <v>911</v>
      </c>
      <c r="AD41" s="234" t="s">
        <v>912</v>
      </c>
    </row>
  </sheetData>
  <mergeCells count="48">
    <mergeCell ref="B37:B41"/>
    <mergeCell ref="C38:C39"/>
    <mergeCell ref="B27:B36"/>
    <mergeCell ref="C27:C28"/>
    <mergeCell ref="C29:C30"/>
    <mergeCell ref="C31:C32"/>
    <mergeCell ref="C33:C34"/>
    <mergeCell ref="C35:C36"/>
    <mergeCell ref="B10:B16"/>
    <mergeCell ref="B17:B26"/>
    <mergeCell ref="C17:C18"/>
    <mergeCell ref="C19:C20"/>
    <mergeCell ref="C21:C22"/>
    <mergeCell ref="C23:C24"/>
    <mergeCell ref="Q6:Q7"/>
    <mergeCell ref="AD6:AD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L6:L7"/>
    <mergeCell ref="M6:M7"/>
    <mergeCell ref="N6:N7"/>
    <mergeCell ref="O6:O7"/>
    <mergeCell ref="P6:P7"/>
    <mergeCell ref="Y1:AD1"/>
    <mergeCell ref="A3:AD3"/>
    <mergeCell ref="A4:AD4"/>
    <mergeCell ref="A5:A8"/>
    <mergeCell ref="B5:B8"/>
    <mergeCell ref="C5:C8"/>
    <mergeCell ref="D5:D8"/>
    <mergeCell ref="E5:AD5"/>
    <mergeCell ref="E6:E7"/>
    <mergeCell ref="F6:F7"/>
    <mergeCell ref="R6:R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518"/>
  <sheetViews>
    <sheetView view="pageBreakPreview" zoomScale="90" zoomScaleNormal="90" zoomScaleSheetLayoutView="90" workbookViewId="0">
      <selection activeCell="F1507" sqref="F1507"/>
    </sheetView>
  </sheetViews>
  <sheetFormatPr defaultRowHeight="15.75" x14ac:dyDescent="0.25"/>
  <cols>
    <col min="1" max="1" width="7.28515625" style="46" customWidth="1"/>
    <col min="2" max="2" width="8.140625" style="47" customWidth="1"/>
    <col min="3" max="4" width="13" style="48" customWidth="1"/>
    <col min="5" max="5" width="13.28515625" style="48" customWidth="1"/>
    <col min="6" max="6" width="13" style="48" customWidth="1"/>
    <col min="7" max="8" width="12.85546875" style="48" customWidth="1"/>
    <col min="9" max="9" width="13.85546875" style="48" customWidth="1"/>
    <col min="10" max="10" width="12.5703125" style="48" customWidth="1"/>
    <col min="11" max="11" width="13" style="48" hidden="1" customWidth="1"/>
    <col min="12" max="12" width="15.5703125" style="48" bestFit="1" customWidth="1"/>
    <col min="13" max="13" width="16.5703125" style="48" customWidth="1"/>
    <col min="14" max="14" width="13.140625" style="48" bestFit="1" customWidth="1"/>
    <col min="15" max="15" width="13" style="48" customWidth="1"/>
    <col min="16" max="16" width="13.28515625" style="48" customWidth="1"/>
    <col min="17" max="16384" width="9.140625" style="48"/>
  </cols>
  <sheetData>
    <row r="1" spans="1:18" s="175" customFormat="1" ht="78" customHeight="1" thickBot="1" x14ac:dyDescent="0.3">
      <c r="A1" s="349" t="s">
        <v>239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8" s="49" customFormat="1" ht="20.100000000000001" customHeight="1" thickBot="1" x14ac:dyDescent="0.3">
      <c r="A2" s="352" t="s">
        <v>1</v>
      </c>
      <c r="B2" s="355" t="s">
        <v>3</v>
      </c>
      <c r="C2" s="358" t="s">
        <v>31</v>
      </c>
      <c r="D2" s="359"/>
      <c r="E2" s="359"/>
      <c r="F2" s="359"/>
      <c r="G2" s="359"/>
      <c r="H2" s="359"/>
      <c r="I2" s="359"/>
      <c r="J2" s="359"/>
      <c r="K2" s="359"/>
      <c r="L2" s="360"/>
      <c r="O2" s="172"/>
      <c r="P2" s="173"/>
      <c r="Q2" s="172"/>
      <c r="R2" s="172"/>
    </row>
    <row r="3" spans="1:18" s="49" customFormat="1" ht="39.75" customHeight="1" thickBot="1" x14ac:dyDescent="0.3">
      <c r="A3" s="353"/>
      <c r="B3" s="356"/>
      <c r="C3" s="1" t="s">
        <v>2</v>
      </c>
      <c r="D3" s="1" t="s">
        <v>219</v>
      </c>
      <c r="E3" s="2" t="s">
        <v>224</v>
      </c>
      <c r="F3" s="2" t="s">
        <v>225</v>
      </c>
      <c r="G3" s="2" t="s">
        <v>226</v>
      </c>
      <c r="H3" s="2" t="s">
        <v>220</v>
      </c>
      <c r="I3" s="2" t="s">
        <v>221</v>
      </c>
      <c r="J3" s="2" t="s">
        <v>0</v>
      </c>
      <c r="K3" s="1" t="s">
        <v>28</v>
      </c>
      <c r="L3" s="1" t="s">
        <v>27</v>
      </c>
      <c r="O3" s="172"/>
      <c r="P3" s="173" t="s">
        <v>217</v>
      </c>
      <c r="Q3" s="172"/>
      <c r="R3" s="172"/>
    </row>
    <row r="4" spans="1:18" s="49" customFormat="1" ht="40.5" customHeight="1" x14ac:dyDescent="0.25">
      <c r="A4" s="353"/>
      <c r="B4" s="356"/>
      <c r="C4" s="3" t="s">
        <v>223</v>
      </c>
      <c r="D4" s="3" t="s">
        <v>223</v>
      </c>
      <c r="E4" s="3" t="s">
        <v>223</v>
      </c>
      <c r="F4" s="3" t="s">
        <v>223</v>
      </c>
      <c r="G4" s="3" t="s">
        <v>223</v>
      </c>
      <c r="H4" s="3" t="s">
        <v>223</v>
      </c>
      <c r="I4" s="3" t="s">
        <v>223</v>
      </c>
      <c r="J4" s="3" t="s">
        <v>223</v>
      </c>
      <c r="K4" s="3" t="s">
        <v>223</v>
      </c>
      <c r="L4" s="3" t="s">
        <v>223</v>
      </c>
      <c r="O4" s="172"/>
      <c r="P4" s="174">
        <f>4.53/4.37*1.039*1.15</f>
        <v>1.2385973684210525</v>
      </c>
      <c r="Q4" s="172"/>
      <c r="R4" s="172"/>
    </row>
    <row r="5" spans="1:18" s="49" customFormat="1" ht="30.75" customHeight="1" x14ac:dyDescent="0.25">
      <c r="A5" s="353"/>
      <c r="B5" s="356"/>
      <c r="C5" s="166" t="s">
        <v>222</v>
      </c>
      <c r="D5" s="166" t="s">
        <v>222</v>
      </c>
      <c r="E5" s="166" t="s">
        <v>222</v>
      </c>
      <c r="F5" s="166" t="s">
        <v>222</v>
      </c>
      <c r="G5" s="166" t="s">
        <v>222</v>
      </c>
      <c r="H5" s="166" t="s">
        <v>222</v>
      </c>
      <c r="I5" s="166" t="s">
        <v>222</v>
      </c>
      <c r="J5" s="166" t="s">
        <v>222</v>
      </c>
      <c r="K5" s="166" t="s">
        <v>222</v>
      </c>
      <c r="L5" s="166" t="s">
        <v>222</v>
      </c>
      <c r="O5" s="172"/>
      <c r="P5" s="172"/>
      <c r="Q5" s="172"/>
      <c r="R5" s="172"/>
    </row>
    <row r="6" spans="1:18" s="49" customFormat="1" ht="0.75" customHeight="1" x14ac:dyDescent="0.25">
      <c r="A6" s="353"/>
      <c r="B6" s="356"/>
      <c r="C6" s="5" t="s">
        <v>214</v>
      </c>
      <c r="D6" s="5" t="s">
        <v>214</v>
      </c>
      <c r="E6" s="5" t="s">
        <v>214</v>
      </c>
      <c r="F6" s="5" t="s">
        <v>214</v>
      </c>
      <c r="G6" s="5" t="s">
        <v>214</v>
      </c>
      <c r="H6" s="5" t="s">
        <v>214</v>
      </c>
      <c r="I6" s="5" t="s">
        <v>214</v>
      </c>
      <c r="J6" s="5" t="s">
        <v>214</v>
      </c>
      <c r="K6" s="5" t="s">
        <v>214</v>
      </c>
      <c r="L6" s="5" t="s">
        <v>214</v>
      </c>
    </row>
    <row r="7" spans="1:18" s="50" customFormat="1" ht="32.25" customHeight="1" thickBot="1" x14ac:dyDescent="0.3">
      <c r="A7" s="354"/>
      <c r="B7" s="357"/>
      <c r="C7" s="4" t="s">
        <v>962</v>
      </c>
      <c r="D7" s="4" t="s">
        <v>963</v>
      </c>
      <c r="E7" s="4" t="s">
        <v>963</v>
      </c>
      <c r="F7" s="4" t="s">
        <v>963</v>
      </c>
      <c r="G7" s="4" t="s">
        <v>963</v>
      </c>
      <c r="H7" s="4" t="s">
        <v>963</v>
      </c>
      <c r="I7" s="4" t="s">
        <v>963</v>
      </c>
      <c r="J7" s="4" t="s">
        <v>963</v>
      </c>
      <c r="K7" s="4" t="s">
        <v>218</v>
      </c>
      <c r="L7" s="4" t="s">
        <v>963</v>
      </c>
    </row>
    <row r="8" spans="1:18" s="278" customFormat="1" ht="19.5" customHeight="1" thickBot="1" x14ac:dyDescent="0.3">
      <c r="A8" s="279">
        <v>1</v>
      </c>
      <c r="B8" s="279">
        <v>2</v>
      </c>
      <c r="C8" s="279">
        <v>3</v>
      </c>
      <c r="D8" s="279">
        <v>4</v>
      </c>
      <c r="E8" s="279">
        <v>5</v>
      </c>
      <c r="F8" s="279">
        <v>6</v>
      </c>
      <c r="G8" s="279">
        <v>7</v>
      </c>
      <c r="H8" s="279">
        <v>8</v>
      </c>
      <c r="I8" s="279">
        <v>9</v>
      </c>
      <c r="J8" s="279">
        <v>10</v>
      </c>
      <c r="K8" s="279"/>
      <c r="L8" s="279">
        <v>11</v>
      </c>
    </row>
    <row r="9" spans="1:18" s="50" customFormat="1" ht="17.25" customHeight="1" thickBot="1" x14ac:dyDescent="0.3">
      <c r="A9" s="317" t="s">
        <v>964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9"/>
    </row>
    <row r="10" spans="1:18" s="51" customFormat="1" ht="20.100000000000001" hidden="1" customHeight="1" thickBot="1" x14ac:dyDescent="0.25">
      <c r="A10" s="327" t="s">
        <v>917</v>
      </c>
      <c r="B10" s="258"/>
      <c r="C10" s="6">
        <v>5942.9188777043228</v>
      </c>
      <c r="D10" s="6">
        <v>6919.9627065138884</v>
      </c>
      <c r="E10" s="6">
        <v>325.61516838358153</v>
      </c>
      <c r="F10" s="6">
        <v>616.39003140573925</v>
      </c>
      <c r="G10" s="6">
        <v>1052.1416643152925</v>
      </c>
      <c r="H10" s="6">
        <v>502.1574694587722</v>
      </c>
      <c r="I10" s="6">
        <v>1804.43837119506</v>
      </c>
      <c r="J10" s="6">
        <v>2681.8882047139878</v>
      </c>
      <c r="K10" s="6">
        <v>1414.8096004527924</v>
      </c>
      <c r="L10" s="12" t="s">
        <v>131</v>
      </c>
    </row>
    <row r="11" spans="1:18" s="51" customFormat="1" ht="20.100000000000001" customHeight="1" x14ac:dyDescent="0.25">
      <c r="A11" s="341"/>
      <c r="B11" s="322" t="s">
        <v>4</v>
      </c>
      <c r="C11" s="13">
        <f t="shared" ref="C11:K11" si="0">C10/11.8*19.53*1.039</f>
        <v>10219.639720605634</v>
      </c>
      <c r="D11" s="13">
        <f t="shared" si="0"/>
        <v>11899.796580753105</v>
      </c>
      <c r="E11" s="13">
        <f t="shared" si="0"/>
        <v>559.93860540966693</v>
      </c>
      <c r="F11" s="13">
        <f t="shared" si="0"/>
        <v>1059.9646702182115</v>
      </c>
      <c r="G11" s="13">
        <f t="shared" si="0"/>
        <v>1809.297580130228</v>
      </c>
      <c r="H11" s="13">
        <f t="shared" si="0"/>
        <v>863.52658121122749</v>
      </c>
      <c r="I11" s="13">
        <f>I10/11.8*19.53*1.039</f>
        <v>3102.9718613243776</v>
      </c>
      <c r="J11" s="13">
        <f t="shared" si="0"/>
        <v>4611.8635955041254</v>
      </c>
      <c r="K11" s="13">
        <f t="shared" si="0"/>
        <v>2432.9533495949076</v>
      </c>
      <c r="L11" s="8" t="s">
        <v>131</v>
      </c>
    </row>
    <row r="12" spans="1:18" s="51" customFormat="1" ht="20.100000000000001" customHeight="1" x14ac:dyDescent="0.25">
      <c r="A12" s="341"/>
      <c r="B12" s="322"/>
      <c r="C12" s="14">
        <f>C11*0.0214</f>
        <v>218.70029002096055</v>
      </c>
      <c r="D12" s="14">
        <f t="shared" ref="D12:K12" si="1">D11*0.0214</f>
        <v>254.65564682811643</v>
      </c>
      <c r="E12" s="14">
        <f t="shared" si="1"/>
        <v>11.982686155766872</v>
      </c>
      <c r="F12" s="14">
        <f t="shared" si="1"/>
        <v>22.683243942669726</v>
      </c>
      <c r="G12" s="14">
        <f t="shared" si="1"/>
        <v>38.718968214786877</v>
      </c>
      <c r="H12" s="14">
        <f t="shared" si="1"/>
        <v>18.479468837920269</v>
      </c>
      <c r="I12" s="14">
        <f t="shared" si="1"/>
        <v>66.403597832341674</v>
      </c>
      <c r="J12" s="14">
        <f t="shared" si="1"/>
        <v>98.693880943788272</v>
      </c>
      <c r="K12" s="14">
        <f t="shared" si="1"/>
        <v>52.065201681331018</v>
      </c>
      <c r="L12" s="15" t="s">
        <v>131</v>
      </c>
    </row>
    <row r="13" spans="1:18" s="51" customFormat="1" ht="20.100000000000001" hidden="1" customHeight="1" x14ac:dyDescent="0.25">
      <c r="A13" s="341"/>
      <c r="B13" s="322"/>
      <c r="C13" s="14">
        <f>13697/1652</f>
        <v>8.2911622276029053</v>
      </c>
      <c r="D13" s="16">
        <f>10170/550</f>
        <v>18.490909090909092</v>
      </c>
      <c r="E13" s="16">
        <f>8661/1652</f>
        <v>5.2427360774818403</v>
      </c>
      <c r="F13" s="16">
        <f>10131/1652</f>
        <v>6.1325665859564165</v>
      </c>
      <c r="G13" s="16">
        <f>18574/1652</f>
        <v>11.243341404358354</v>
      </c>
      <c r="H13" s="16">
        <f>10132/1652</f>
        <v>6.1331719128329301</v>
      </c>
      <c r="I13" s="16">
        <f>21107/1652</f>
        <v>12.776634382566586</v>
      </c>
      <c r="J13" s="16">
        <f>2450/1652</f>
        <v>1.4830508474576272</v>
      </c>
      <c r="K13" s="16">
        <f>J13</f>
        <v>1.4830508474576272</v>
      </c>
      <c r="L13" s="15" t="s">
        <v>131</v>
      </c>
    </row>
    <row r="14" spans="1:18" s="51" customFormat="1" ht="20.100000000000001" hidden="1" customHeight="1" x14ac:dyDescent="0.25">
      <c r="A14" s="341"/>
      <c r="B14" s="322"/>
      <c r="C14" s="39">
        <f>(1/1651.8)*138842.4*1.2*P4</f>
        <v>124.9326779987382</v>
      </c>
      <c r="D14" s="10">
        <f>(1/1651.8)*48594.84*1.2*P4</f>
        <v>43.726437299558363</v>
      </c>
      <c r="E14" s="10">
        <f>(1/1651.8)*92561.94*1.2*P4</f>
        <v>83.288757936757975</v>
      </c>
      <c r="F14" s="10">
        <f>(1/1651.8)*69421.2*1.2*P4</f>
        <v>62.4663389993691</v>
      </c>
      <c r="G14" s="10">
        <f>(1/1651.8)*69421.2*1.2*P4</f>
        <v>62.4663389993691</v>
      </c>
      <c r="H14" s="10">
        <f>(1/1651.8)*69421.2*1.2*P4</f>
        <v>62.4663389993691</v>
      </c>
      <c r="I14" s="22">
        <f>(1/1651.8)*91404.24*1.2*P4</f>
        <v>82.247040411570154</v>
      </c>
      <c r="J14" s="22">
        <f>(1/1651.8)*113388.3*1.2*P4</f>
        <v>102.0286596365687</v>
      </c>
      <c r="K14" s="10">
        <f>(1/1651.8)*48594.84*1.2*P4</f>
        <v>43.726437299558363</v>
      </c>
      <c r="L14" s="21" t="s">
        <v>131</v>
      </c>
    </row>
    <row r="15" spans="1:18" s="51" customFormat="1" ht="20.100000000000001" customHeight="1" thickBot="1" x14ac:dyDescent="0.3">
      <c r="A15" s="341"/>
      <c r="B15" s="323"/>
      <c r="C15" s="23">
        <f>C14+C13</f>
        <v>133.22384022634111</v>
      </c>
      <c r="D15" s="23">
        <f t="shared" ref="D15:K15" si="2">D14+D13</f>
        <v>62.217346390467455</v>
      </c>
      <c r="E15" s="23">
        <f t="shared" si="2"/>
        <v>88.531494014239811</v>
      </c>
      <c r="F15" s="23">
        <f t="shared" si="2"/>
        <v>68.598905585325511</v>
      </c>
      <c r="G15" s="23">
        <f t="shared" si="2"/>
        <v>73.709680403727447</v>
      </c>
      <c r="H15" s="23">
        <f t="shared" si="2"/>
        <v>68.599510912202035</v>
      </c>
      <c r="I15" s="23">
        <f t="shared" si="2"/>
        <v>95.023674794136738</v>
      </c>
      <c r="J15" s="23">
        <f t="shared" si="2"/>
        <v>103.51171048402634</v>
      </c>
      <c r="K15" s="23">
        <f t="shared" si="2"/>
        <v>45.209488147015989</v>
      </c>
      <c r="L15" s="21" t="s">
        <v>131</v>
      </c>
    </row>
    <row r="16" spans="1:18" s="51" customFormat="1" ht="20.100000000000001" customHeight="1" thickBot="1" x14ac:dyDescent="0.3">
      <c r="A16" s="345"/>
      <c r="B16" s="259" t="s">
        <v>212</v>
      </c>
      <c r="C16" s="260">
        <f>SUM(C11:C14)</f>
        <v>10571.563850852936</v>
      </c>
      <c r="D16" s="261">
        <f t="shared" ref="D16:K16" si="3">SUM(D11:D14)</f>
        <v>12216.669573971689</v>
      </c>
      <c r="E16" s="261">
        <f t="shared" si="3"/>
        <v>660.45278557967356</v>
      </c>
      <c r="F16" s="261">
        <f t="shared" si="3"/>
        <v>1151.2468197462069</v>
      </c>
      <c r="G16" s="261">
        <f t="shared" si="3"/>
        <v>1921.7262287487422</v>
      </c>
      <c r="H16" s="261">
        <f t="shared" si="3"/>
        <v>950.60556096134985</v>
      </c>
      <c r="I16" s="261">
        <f t="shared" si="3"/>
        <v>3264.3991339508561</v>
      </c>
      <c r="J16" s="261">
        <f t="shared" si="3"/>
        <v>4814.0691869319398</v>
      </c>
      <c r="K16" s="261">
        <f t="shared" si="3"/>
        <v>2530.2280394232544</v>
      </c>
      <c r="L16" s="25" t="s">
        <v>131</v>
      </c>
    </row>
    <row r="17" spans="1:12" s="51" customFormat="1" ht="20.100000000000001" hidden="1" customHeight="1" thickBot="1" x14ac:dyDescent="0.3">
      <c r="A17" s="327" t="s">
        <v>918</v>
      </c>
      <c r="B17" s="262"/>
      <c r="C17" s="9">
        <v>6062.703641205947</v>
      </c>
      <c r="D17" s="9">
        <v>7491.0124478823536</v>
      </c>
      <c r="E17" s="9">
        <v>251.56677446455041</v>
      </c>
      <c r="F17" s="9">
        <v>455.56842330543554</v>
      </c>
      <c r="G17" s="9">
        <v>986.80957409362645</v>
      </c>
      <c r="H17" s="9">
        <v>365.25593957509432</v>
      </c>
      <c r="I17" s="9">
        <v>2139.097106389901</v>
      </c>
      <c r="J17" s="9">
        <v>2052.1206191262763</v>
      </c>
      <c r="K17" s="9">
        <v>1414.8464747650144</v>
      </c>
      <c r="L17" s="21" t="s">
        <v>131</v>
      </c>
    </row>
    <row r="18" spans="1:12" s="51" customFormat="1" ht="20.100000000000001" customHeight="1" x14ac:dyDescent="0.25">
      <c r="A18" s="327"/>
      <c r="B18" s="322" t="s">
        <v>215</v>
      </c>
      <c r="C18" s="22">
        <f>C17/11.8*19.53*1.039</f>
        <v>10425.625558910973</v>
      </c>
      <c r="D18" s="22">
        <f t="shared" ref="D18:K18" si="4">D17/11.8*19.53*1.039</f>
        <v>12881.792589688212</v>
      </c>
      <c r="E18" s="22">
        <f t="shared" si="4"/>
        <v>432.60253986432906</v>
      </c>
      <c r="F18" s="22">
        <f t="shared" si="4"/>
        <v>783.41051763849202</v>
      </c>
      <c r="G18" s="22">
        <f t="shared" si="4"/>
        <v>1696.950358504103</v>
      </c>
      <c r="H18" s="22">
        <f t="shared" si="4"/>
        <v>628.10618571167402</v>
      </c>
      <c r="I18" s="22">
        <f t="shared" si="4"/>
        <v>3678.4620831202342</v>
      </c>
      <c r="J18" s="22">
        <f t="shared" si="4"/>
        <v>3528.894440975092</v>
      </c>
      <c r="K18" s="22">
        <f t="shared" si="4"/>
        <v>2433.0167598809317</v>
      </c>
      <c r="L18" s="15" t="s">
        <v>131</v>
      </c>
    </row>
    <row r="19" spans="1:12" s="51" customFormat="1" ht="20.100000000000001" customHeight="1" x14ac:dyDescent="0.25">
      <c r="A19" s="327"/>
      <c r="B19" s="322"/>
      <c r="C19" s="23">
        <f>C18*0.0214</f>
        <v>223.10838696069482</v>
      </c>
      <c r="D19" s="23">
        <f t="shared" ref="D19:K19" si="5">D18*0.0214</f>
        <v>275.67036141932772</v>
      </c>
      <c r="E19" s="23">
        <f t="shared" si="5"/>
        <v>9.2576943530966407</v>
      </c>
      <c r="F19" s="23">
        <f t="shared" si="5"/>
        <v>16.764985077463727</v>
      </c>
      <c r="G19" s="23">
        <f t="shared" si="5"/>
        <v>36.3147376719878</v>
      </c>
      <c r="H19" s="23">
        <f t="shared" si="5"/>
        <v>13.441472374229823</v>
      </c>
      <c r="I19" s="23">
        <f t="shared" si="5"/>
        <v>78.719088578773011</v>
      </c>
      <c r="J19" s="23">
        <f t="shared" si="5"/>
        <v>75.518341036866971</v>
      </c>
      <c r="K19" s="23">
        <f t="shared" si="5"/>
        <v>52.066558661451936</v>
      </c>
      <c r="L19" s="15" t="s">
        <v>131</v>
      </c>
    </row>
    <row r="20" spans="1:12" s="51" customFormat="1" ht="20.100000000000001" hidden="1" customHeight="1" x14ac:dyDescent="0.25">
      <c r="A20" s="327"/>
      <c r="B20" s="322"/>
      <c r="C20" s="16">
        <f>8539/1087.3</f>
        <v>7.8533983261289437</v>
      </c>
      <c r="D20" s="16">
        <f>6339/272</f>
        <v>23.305147058823529</v>
      </c>
      <c r="E20" s="16">
        <f>3420/1087.3</f>
        <v>3.145406051687667</v>
      </c>
      <c r="F20" s="16">
        <f>3891/1087.3</f>
        <v>3.5785891658235998</v>
      </c>
      <c r="G20" s="16">
        <f>5559/1087.3</f>
        <v>5.1126643980502164</v>
      </c>
      <c r="H20" s="16">
        <f>F20</f>
        <v>3.5785891658235998</v>
      </c>
      <c r="I20" s="16">
        <f>8076/1087.3</f>
        <v>7.4275728869677184</v>
      </c>
      <c r="J20" s="16">
        <f>1527/1087.3</f>
        <v>1.4043962107973882</v>
      </c>
      <c r="K20" s="16">
        <f>J20</f>
        <v>1.4043962107973882</v>
      </c>
      <c r="L20" s="15" t="s">
        <v>131</v>
      </c>
    </row>
    <row r="21" spans="1:12" s="51" customFormat="1" ht="20.100000000000001" hidden="1" customHeight="1" x14ac:dyDescent="0.25">
      <c r="A21" s="327"/>
      <c r="B21" s="322"/>
      <c r="C21" s="23">
        <f>88.16*P4</f>
        <v>109.19474399999999</v>
      </c>
      <c r="D21" s="23">
        <f>30.86*P4</f>
        <v>38.223114789473676</v>
      </c>
      <c r="E21" s="23">
        <f>(1/2120.24)*122449.98*1.2*P4</f>
        <v>85.839087834137942</v>
      </c>
      <c r="F21" s="23">
        <f>(1/2120.24)*91837.74*1.2*P4</f>
        <v>64.379494634043411</v>
      </c>
      <c r="G21" s="23">
        <f>51.98*P4</f>
        <v>64.382291210526304</v>
      </c>
      <c r="H21" s="23">
        <f>51.98*P4</f>
        <v>64.382291210526304</v>
      </c>
      <c r="I21" s="157">
        <f>58.04*P4</f>
        <v>71.888191263157893</v>
      </c>
      <c r="J21" s="157">
        <f>72*P4</f>
        <v>89.179010526315778</v>
      </c>
      <c r="K21" s="23">
        <f>30.86*P4</f>
        <v>38.223114789473676</v>
      </c>
      <c r="L21" s="21" t="s">
        <v>131</v>
      </c>
    </row>
    <row r="22" spans="1:12" s="51" customFormat="1" ht="20.100000000000001" customHeight="1" thickBot="1" x14ac:dyDescent="0.3">
      <c r="A22" s="327"/>
      <c r="B22" s="323"/>
      <c r="C22" s="9">
        <f>C21+C20</f>
        <v>117.04814232612893</v>
      </c>
      <c r="D22" s="9">
        <f t="shared" ref="D22:K22" si="6">D21+D20</f>
        <v>61.528261848297205</v>
      </c>
      <c r="E22" s="9">
        <f t="shared" si="6"/>
        <v>88.984493885825614</v>
      </c>
      <c r="F22" s="9">
        <f t="shared" si="6"/>
        <v>67.958083799867012</v>
      </c>
      <c r="G22" s="9">
        <f t="shared" si="6"/>
        <v>69.494955608576518</v>
      </c>
      <c r="H22" s="9">
        <f t="shared" si="6"/>
        <v>67.960880376349905</v>
      </c>
      <c r="I22" s="9">
        <f t="shared" si="6"/>
        <v>79.315764150125617</v>
      </c>
      <c r="J22" s="9">
        <f t="shared" si="6"/>
        <v>90.583406737113165</v>
      </c>
      <c r="K22" s="9">
        <f t="shared" si="6"/>
        <v>39.627511000271063</v>
      </c>
      <c r="L22" s="20" t="s">
        <v>131</v>
      </c>
    </row>
    <row r="23" spans="1:12" s="51" customFormat="1" ht="20.100000000000001" customHeight="1" thickBot="1" x14ac:dyDescent="0.3">
      <c r="A23" s="328"/>
      <c r="B23" s="263" t="s">
        <v>212</v>
      </c>
      <c r="C23" s="264">
        <f>SUM(C18:C21)</f>
        <v>10765.782088197799</v>
      </c>
      <c r="D23" s="264">
        <f t="shared" ref="D23:K23" si="7">SUM(D18:D21)</f>
        <v>13218.991212955838</v>
      </c>
      <c r="E23" s="264">
        <f t="shared" si="7"/>
        <v>530.84472810325133</v>
      </c>
      <c r="F23" s="264">
        <f t="shared" si="7"/>
        <v>868.1335865158228</v>
      </c>
      <c r="G23" s="264">
        <f t="shared" si="7"/>
        <v>1802.7600517846672</v>
      </c>
      <c r="H23" s="264">
        <f t="shared" si="7"/>
        <v>709.5085384622538</v>
      </c>
      <c r="I23" s="264">
        <f t="shared" si="7"/>
        <v>3836.496935849133</v>
      </c>
      <c r="J23" s="264">
        <f t="shared" si="7"/>
        <v>3694.9961887490722</v>
      </c>
      <c r="K23" s="264">
        <f t="shared" si="7"/>
        <v>2524.7108295426547</v>
      </c>
      <c r="L23" s="25" t="s">
        <v>131</v>
      </c>
    </row>
    <row r="24" spans="1:12" s="51" customFormat="1" ht="20.100000000000001" hidden="1" customHeight="1" thickBot="1" x14ac:dyDescent="0.3">
      <c r="A24" s="327" t="s">
        <v>919</v>
      </c>
      <c r="B24" s="321" t="s">
        <v>5</v>
      </c>
      <c r="C24" s="9">
        <v>3912.0594356893935</v>
      </c>
      <c r="D24" s="9">
        <v>6079.817946624391</v>
      </c>
      <c r="E24" s="9">
        <v>225.70644000000004</v>
      </c>
      <c r="F24" s="9">
        <v>238.71196565724921</v>
      </c>
      <c r="G24" s="9">
        <v>543.50512998139061</v>
      </c>
      <c r="H24" s="9">
        <v>214.70572880392493</v>
      </c>
      <c r="I24" s="9">
        <v>989.15473205887338</v>
      </c>
      <c r="J24" s="9">
        <v>1905.9100582911055</v>
      </c>
      <c r="K24" s="9">
        <v>655.94530738398737</v>
      </c>
      <c r="L24" s="20" t="s">
        <v>131</v>
      </c>
    </row>
    <row r="25" spans="1:12" s="51" customFormat="1" ht="20.100000000000001" customHeight="1" x14ac:dyDescent="0.25">
      <c r="A25" s="341"/>
      <c r="B25" s="322"/>
      <c r="C25" s="10">
        <f>C24/11.8*19.53*1.039</f>
        <v>6727.3067024911343</v>
      </c>
      <c r="D25" s="10">
        <f t="shared" ref="D25:K25" si="8">D24/11.8*19.53*1.039</f>
        <v>10455.055884150826</v>
      </c>
      <c r="E25" s="10">
        <f t="shared" si="8"/>
        <v>388.13225401311877</v>
      </c>
      <c r="F25" s="10">
        <f t="shared" si="8"/>
        <v>410.49698577696898</v>
      </c>
      <c r="G25" s="10">
        <f t="shared" si="8"/>
        <v>934.62938482114259</v>
      </c>
      <c r="H25" s="10">
        <f t="shared" si="8"/>
        <v>369.21506745752021</v>
      </c>
      <c r="I25" s="10">
        <f t="shared" si="8"/>
        <v>1700.9831696505998</v>
      </c>
      <c r="J25" s="10">
        <f t="shared" si="8"/>
        <v>3277.4659281799891</v>
      </c>
      <c r="K25" s="10">
        <f t="shared" si="8"/>
        <v>1127.9852301257995</v>
      </c>
      <c r="L25" s="8" t="s">
        <v>131</v>
      </c>
    </row>
    <row r="26" spans="1:12" s="51" customFormat="1" ht="20.100000000000001" customHeight="1" x14ac:dyDescent="0.25">
      <c r="A26" s="341"/>
      <c r="B26" s="322"/>
      <c r="C26" s="16">
        <f>C25*0.0214</f>
        <v>143.96436343331027</v>
      </c>
      <c r="D26" s="16">
        <f t="shared" ref="D26:K26" si="9">D25*0.0214</f>
        <v>223.73819592082768</v>
      </c>
      <c r="E26" s="16">
        <f t="shared" si="9"/>
        <v>8.3060302358807405</v>
      </c>
      <c r="F26" s="16">
        <f t="shared" si="9"/>
        <v>8.7846354956271355</v>
      </c>
      <c r="G26" s="16">
        <f t="shared" si="9"/>
        <v>20.00106883517245</v>
      </c>
      <c r="H26" s="16">
        <f t="shared" si="9"/>
        <v>7.9012024435909316</v>
      </c>
      <c r="I26" s="16">
        <f t="shared" si="9"/>
        <v>36.401039830522834</v>
      </c>
      <c r="J26" s="16">
        <f t="shared" si="9"/>
        <v>70.137770863051756</v>
      </c>
      <c r="K26" s="16">
        <f t="shared" si="9"/>
        <v>24.138883924692109</v>
      </c>
      <c r="L26" s="26" t="s">
        <v>131</v>
      </c>
    </row>
    <row r="27" spans="1:12" s="51" customFormat="1" ht="20.100000000000001" hidden="1" customHeight="1" x14ac:dyDescent="0.25">
      <c r="A27" s="341"/>
      <c r="B27" s="322"/>
      <c r="C27" s="16">
        <f>27146/4137.7</f>
        <v>6.5606496362713589</v>
      </c>
      <c r="D27" s="16">
        <f>20155/828</f>
        <v>24.341787439613526</v>
      </c>
      <c r="E27" s="16">
        <f>13020/4137.7</f>
        <v>3.1466756893926577</v>
      </c>
      <c r="F27" s="16">
        <f>65586/2/4137</f>
        <v>7.9267585206671498</v>
      </c>
      <c r="G27" s="16">
        <f>59239/4137.7</f>
        <v>14.316891026415643</v>
      </c>
      <c r="H27" s="16">
        <f>F27</f>
        <v>7.9267585206671498</v>
      </c>
      <c r="I27" s="16">
        <f>69818/4137.7</f>
        <v>16.873625444087295</v>
      </c>
      <c r="J27" s="16">
        <f>4855/4137.7</f>
        <v>1.173357179109167</v>
      </c>
      <c r="K27" s="16">
        <f>J27</f>
        <v>1.173357179109167</v>
      </c>
      <c r="L27" s="15" t="s">
        <v>131</v>
      </c>
    </row>
    <row r="28" spans="1:12" s="51" customFormat="1" ht="20.100000000000001" hidden="1" customHeight="1" x14ac:dyDescent="0.25">
      <c r="A28" s="341"/>
      <c r="B28" s="322"/>
      <c r="C28" s="158">
        <f>(1/4137.7)*295342.02*1.2*P4</f>
        <v>106.09077954114352</v>
      </c>
      <c r="D28" s="158">
        <f>(1/4137.7)*103369.86*1.2*P4</f>
        <v>37.131827799034042</v>
      </c>
      <c r="E28" s="10">
        <f>(1/4137.7)*196894.68*1.2*P4</f>
        <v>70.727186360762332</v>
      </c>
      <c r="F28" s="158">
        <f>(1/4137.7)*147671.52*1.2*P4</f>
        <v>53.045572969351134</v>
      </c>
      <c r="G28" s="158">
        <f>(1/4137.7)*147671.52*1.2*P4</f>
        <v>53.045572969351134</v>
      </c>
      <c r="H28" s="10">
        <f>(1/4137.7)*147671.52*1.2*P4</f>
        <v>53.045572969351134</v>
      </c>
      <c r="I28" s="22">
        <f>(1/4137.7)*194433.42*1.2*P4</f>
        <v>69.84306905143589</v>
      </c>
      <c r="J28" s="159">
        <f>(1/4137.7)*241196.34*1.2*P4</f>
        <v>86.640931531079431</v>
      </c>
      <c r="K28" s="158">
        <f>(1/4137.7)*103369.86*1.2*P4</f>
        <v>37.131827799034042</v>
      </c>
      <c r="L28" s="160" t="s">
        <v>131</v>
      </c>
    </row>
    <row r="29" spans="1:12" s="51" customFormat="1" ht="20.100000000000001" customHeight="1" thickBot="1" x14ac:dyDescent="0.3">
      <c r="A29" s="341"/>
      <c r="B29" s="322"/>
      <c r="C29" s="23">
        <f>C28+C27</f>
        <v>112.65142917741488</v>
      </c>
      <c r="D29" s="23">
        <f t="shared" ref="D29:K29" si="10">D28+D27</f>
        <v>61.473615238647568</v>
      </c>
      <c r="E29" s="23">
        <f t="shared" si="10"/>
        <v>73.873862050154983</v>
      </c>
      <c r="F29" s="23">
        <f t="shared" si="10"/>
        <v>60.972331490018284</v>
      </c>
      <c r="G29" s="23">
        <f t="shared" si="10"/>
        <v>67.362463995766774</v>
      </c>
      <c r="H29" s="23">
        <f t="shared" si="10"/>
        <v>60.972331490018284</v>
      </c>
      <c r="I29" s="23">
        <f t="shared" si="10"/>
        <v>86.716694495523186</v>
      </c>
      <c r="J29" s="23">
        <f t="shared" si="10"/>
        <v>87.814288710188592</v>
      </c>
      <c r="K29" s="23">
        <f t="shared" si="10"/>
        <v>38.30518497814321</v>
      </c>
      <c r="L29" s="21" t="s">
        <v>131</v>
      </c>
    </row>
    <row r="30" spans="1:12" s="51" customFormat="1" ht="20.100000000000001" customHeight="1" thickBot="1" x14ac:dyDescent="0.3">
      <c r="A30" s="345"/>
      <c r="B30" s="259" t="s">
        <v>212</v>
      </c>
      <c r="C30" s="36">
        <f>SUM(C25:C28)</f>
        <v>6983.9224951018596</v>
      </c>
      <c r="D30" s="36">
        <f t="shared" ref="D30:K30" si="11">SUM(D25:D28)</f>
        <v>10740.2676953103</v>
      </c>
      <c r="E30" s="36">
        <f t="shared" si="11"/>
        <v>470.31214629915451</v>
      </c>
      <c r="F30" s="36">
        <f t="shared" si="11"/>
        <v>480.2539527626144</v>
      </c>
      <c r="G30" s="36">
        <f t="shared" si="11"/>
        <v>1021.9929176520818</v>
      </c>
      <c r="H30" s="36">
        <f t="shared" si="11"/>
        <v>438.08860139112943</v>
      </c>
      <c r="I30" s="36">
        <f t="shared" si="11"/>
        <v>1824.1009039766459</v>
      </c>
      <c r="J30" s="36">
        <f t="shared" si="11"/>
        <v>3435.4179877532292</v>
      </c>
      <c r="K30" s="36">
        <f t="shared" si="11"/>
        <v>1190.4292990286349</v>
      </c>
      <c r="L30" s="37" t="s">
        <v>131</v>
      </c>
    </row>
    <row r="31" spans="1:12" s="51" customFormat="1" ht="4.5" hidden="1" customHeight="1" thickBot="1" x14ac:dyDescent="0.3">
      <c r="A31" s="327" t="s">
        <v>920</v>
      </c>
      <c r="B31" s="321" t="s">
        <v>139</v>
      </c>
      <c r="C31" s="9">
        <v>4109.9360318534455</v>
      </c>
      <c r="D31" s="9">
        <v>5427.7950000000001</v>
      </c>
      <c r="E31" s="9">
        <v>237.14700000000002</v>
      </c>
      <c r="F31" s="9">
        <v>250.86100000000002</v>
      </c>
      <c r="G31" s="9">
        <v>571.11700000000008</v>
      </c>
      <c r="H31" s="9">
        <v>187.33500000000001</v>
      </c>
      <c r="I31" s="9">
        <v>1017.5400000000001</v>
      </c>
      <c r="J31" s="9">
        <v>2009.2815000000003</v>
      </c>
      <c r="K31" s="9">
        <v>691.46849999999995</v>
      </c>
      <c r="L31" s="30">
        <v>3064283.5692000007</v>
      </c>
    </row>
    <row r="32" spans="1:12" s="51" customFormat="1" ht="24" customHeight="1" x14ac:dyDescent="0.25">
      <c r="A32" s="327"/>
      <c r="B32" s="322"/>
      <c r="C32" s="23">
        <f>C31/11.8*19.53*1.039</f>
        <v>7067.5818372440335</v>
      </c>
      <c r="D32" s="23">
        <f t="shared" ref="D32:L32" si="12">D31/11.8*19.53*1.039</f>
        <v>9333.8156752245759</v>
      </c>
      <c r="E32" s="23">
        <f t="shared" si="12"/>
        <v>407.80581910932199</v>
      </c>
      <c r="F32" s="23">
        <f t="shared" si="12"/>
        <v>431.38886676864405</v>
      </c>
      <c r="G32" s="23">
        <f t="shared" si="12"/>
        <v>982.11166910084751</v>
      </c>
      <c r="H32" s="23">
        <f t="shared" si="12"/>
        <v>322.1474575805085</v>
      </c>
      <c r="I32" s="23">
        <f t="shared" si="12"/>
        <v>1749.7954145593221</v>
      </c>
      <c r="J32" s="23">
        <f t="shared" si="12"/>
        <v>3455.2268758563564</v>
      </c>
      <c r="K32" s="23">
        <f t="shared" si="12"/>
        <v>1189.072086219915</v>
      </c>
      <c r="L32" s="33">
        <f t="shared" si="12"/>
        <v>5269443.3027651329</v>
      </c>
    </row>
    <row r="33" spans="1:12" s="51" customFormat="1" ht="20.100000000000001" customHeight="1" x14ac:dyDescent="0.25">
      <c r="A33" s="327"/>
      <c r="B33" s="322"/>
      <c r="C33" s="16">
        <f>C32*0.0214</f>
        <v>151.24625131702231</v>
      </c>
      <c r="D33" s="16">
        <f t="shared" ref="D33:L33" si="13">D32*0.0214</f>
        <v>199.74365544980591</v>
      </c>
      <c r="E33" s="16">
        <f t="shared" si="13"/>
        <v>8.7270445289394907</v>
      </c>
      <c r="F33" s="16">
        <f t="shared" si="13"/>
        <v>9.2317217488489813</v>
      </c>
      <c r="G33" s="16">
        <f t="shared" si="13"/>
        <v>21.017189718758136</v>
      </c>
      <c r="H33" s="16">
        <f t="shared" si="13"/>
        <v>6.8939555922228815</v>
      </c>
      <c r="I33" s="16">
        <f t="shared" si="13"/>
        <v>37.445621871569493</v>
      </c>
      <c r="J33" s="16">
        <f t="shared" si="13"/>
        <v>73.941855143326023</v>
      </c>
      <c r="K33" s="16">
        <f t="shared" si="13"/>
        <v>25.446142645106182</v>
      </c>
      <c r="L33" s="31">
        <f t="shared" si="13"/>
        <v>112766.08667917384</v>
      </c>
    </row>
    <row r="34" spans="1:12" s="51" customFormat="1" ht="20.100000000000001" hidden="1" customHeight="1" x14ac:dyDescent="0.25">
      <c r="A34" s="327"/>
      <c r="B34" s="322"/>
      <c r="C34" s="16">
        <f>20553/6541</f>
        <v>3.1421800947867298</v>
      </c>
      <c r="D34" s="16">
        <f>15259/727</f>
        <v>20.988995873452545</v>
      </c>
      <c r="E34" s="16">
        <f>21052/6541</f>
        <v>3.2184681241400397</v>
      </c>
      <c r="F34" s="16">
        <f>133415/2/6541</f>
        <v>10.198364164500841</v>
      </c>
      <c r="G34" s="16">
        <f>119731/6541</f>
        <v>18.304693471946187</v>
      </c>
      <c r="H34" s="16">
        <f>F34</f>
        <v>10.198364164500841</v>
      </c>
      <c r="I34" s="32">
        <f>136836/6541</f>
        <v>20.919737043265556</v>
      </c>
      <c r="J34" s="32">
        <f>3676/6541</f>
        <v>0.56199357896346125</v>
      </c>
      <c r="K34" s="16">
        <f>J34</f>
        <v>0.56199357896346125</v>
      </c>
      <c r="L34" s="31">
        <v>25896.28</v>
      </c>
    </row>
    <row r="35" spans="1:12" s="51" customFormat="1" ht="20.100000000000001" hidden="1" customHeight="1" thickBot="1" x14ac:dyDescent="0.3">
      <c r="A35" s="327"/>
      <c r="B35" s="322"/>
      <c r="C35" s="18">
        <f>86.75*P4</f>
        <v>107.4483217105263</v>
      </c>
      <c r="D35" s="18">
        <f>(1/6541)*183626*P4</f>
        <v>34.771239928708788</v>
      </c>
      <c r="E35" s="18">
        <f>58.47*P4</f>
        <v>72.420788131578945</v>
      </c>
      <c r="F35" s="18">
        <f>42.96*P4</f>
        <v>53.210142947368418</v>
      </c>
      <c r="G35" s="18">
        <f>42.96*P4</f>
        <v>53.210142947368418</v>
      </c>
      <c r="H35" s="18">
        <f>42.96*P4</f>
        <v>53.210142947368418</v>
      </c>
      <c r="I35" s="19">
        <f>56.48*P4</f>
        <v>69.95597936842104</v>
      </c>
      <c r="J35" s="19">
        <f>69.94*P4</f>
        <v>86.627499947368406</v>
      </c>
      <c r="K35" s="18">
        <f>30.1*P4</f>
        <v>37.281780789473679</v>
      </c>
      <c r="L35" s="29">
        <f>145742*1.2*P4</f>
        <v>216618.78920210522</v>
      </c>
    </row>
    <row r="36" spans="1:12" s="51" customFormat="1" ht="20.100000000000001" customHeight="1" thickBot="1" x14ac:dyDescent="0.3">
      <c r="A36" s="327"/>
      <c r="B36" s="323"/>
      <c r="C36" s="18">
        <f>C35+C34</f>
        <v>110.59050180531302</v>
      </c>
      <c r="D36" s="18">
        <f t="shared" ref="D36:L36" si="14">D35+D34</f>
        <v>55.760235802161333</v>
      </c>
      <c r="E36" s="18">
        <f t="shared" si="14"/>
        <v>75.63925625571899</v>
      </c>
      <c r="F36" s="18">
        <f t="shared" si="14"/>
        <v>63.408507111869255</v>
      </c>
      <c r="G36" s="18">
        <f t="shared" si="14"/>
        <v>71.514836419314605</v>
      </c>
      <c r="H36" s="18">
        <f t="shared" si="14"/>
        <v>63.408507111869255</v>
      </c>
      <c r="I36" s="18">
        <f t="shared" si="14"/>
        <v>90.875716411686597</v>
      </c>
      <c r="J36" s="18">
        <f t="shared" si="14"/>
        <v>87.189493526331873</v>
      </c>
      <c r="K36" s="18">
        <f t="shared" si="14"/>
        <v>37.843774368437138</v>
      </c>
      <c r="L36" s="41">
        <f t="shared" si="14"/>
        <v>242515.06920210522</v>
      </c>
    </row>
    <row r="37" spans="1:12" s="51" customFormat="1" ht="20.100000000000001" customHeight="1" thickBot="1" x14ac:dyDescent="0.3">
      <c r="A37" s="328"/>
      <c r="B37" s="265" t="s">
        <v>212</v>
      </c>
      <c r="C37" s="36">
        <f>SUM(C32:C35)</f>
        <v>7329.4185903663683</v>
      </c>
      <c r="D37" s="36">
        <f t="shared" ref="D37:L37" si="15">SUM(D32:D35)</f>
        <v>9589.3195664765426</v>
      </c>
      <c r="E37" s="36">
        <f t="shared" si="15"/>
        <v>492.17211989398044</v>
      </c>
      <c r="F37" s="36">
        <f t="shared" si="15"/>
        <v>504.0290956293623</v>
      </c>
      <c r="G37" s="36">
        <f t="shared" si="15"/>
        <v>1074.6436952389201</v>
      </c>
      <c r="H37" s="36">
        <f t="shared" si="15"/>
        <v>392.44992028460064</v>
      </c>
      <c r="I37" s="36">
        <f t="shared" si="15"/>
        <v>1878.1167528425783</v>
      </c>
      <c r="J37" s="36">
        <f t="shared" si="15"/>
        <v>3616.3582245260145</v>
      </c>
      <c r="K37" s="36">
        <f t="shared" si="15"/>
        <v>1252.3620032334584</v>
      </c>
      <c r="L37" s="71">
        <f t="shared" si="15"/>
        <v>5624724.458646412</v>
      </c>
    </row>
    <row r="38" spans="1:12" s="51" customFormat="1" ht="20.100000000000001" hidden="1" customHeight="1" x14ac:dyDescent="0.25">
      <c r="A38" s="327" t="s">
        <v>921</v>
      </c>
      <c r="B38" s="321" t="s">
        <v>140</v>
      </c>
      <c r="C38" s="23">
        <v>4309.6985318534453</v>
      </c>
      <c r="D38" s="23">
        <v>5691.2295000000004</v>
      </c>
      <c r="E38" s="23">
        <v>248.67600000000004</v>
      </c>
      <c r="F38" s="23">
        <v>263.05150000000003</v>
      </c>
      <c r="G38" s="23">
        <v>598.86850000000015</v>
      </c>
      <c r="H38" s="23">
        <v>198.3075</v>
      </c>
      <c r="I38" s="23">
        <v>1089.1815000000001</v>
      </c>
      <c r="J38" s="23">
        <v>2113.1790000000001</v>
      </c>
      <c r="K38" s="23">
        <v>727.10550000000012</v>
      </c>
      <c r="L38" s="33">
        <v>3064283.5692000007</v>
      </c>
    </row>
    <row r="39" spans="1:12" s="51" customFormat="1" ht="20.100000000000001" customHeight="1" x14ac:dyDescent="0.25">
      <c r="A39" s="341"/>
      <c r="B39" s="322"/>
      <c r="C39" s="23">
        <f>C38/11.8*19.53*1.039</f>
        <v>7411.1000345639495</v>
      </c>
      <c r="D39" s="23">
        <f t="shared" ref="D39:L39" si="16">D38/11.8*19.53*1.039</f>
        <v>9786.8263481580507</v>
      </c>
      <c r="E39" s="23">
        <f t="shared" si="16"/>
        <v>427.6314685525424</v>
      </c>
      <c r="F39" s="23">
        <f t="shared" si="16"/>
        <v>452.35205347500005</v>
      </c>
      <c r="G39" s="23">
        <f t="shared" si="16"/>
        <v>1029.8340657114409</v>
      </c>
      <c r="H39" s="23">
        <f t="shared" si="16"/>
        <v>341.01613123093222</v>
      </c>
      <c r="I39" s="23">
        <f t="shared" si="16"/>
        <v>1872.9925057716105</v>
      </c>
      <c r="J39" s="23">
        <f t="shared" si="16"/>
        <v>3633.8924507567799</v>
      </c>
      <c r="K39" s="23">
        <f t="shared" si="16"/>
        <v>1250.3546492529663</v>
      </c>
      <c r="L39" s="33">
        <f t="shared" si="16"/>
        <v>5269443.3027651329</v>
      </c>
    </row>
    <row r="40" spans="1:12" s="51" customFormat="1" ht="20.100000000000001" customHeight="1" x14ac:dyDescent="0.25">
      <c r="A40" s="341"/>
      <c r="B40" s="322"/>
      <c r="C40" s="16">
        <f>C39*0.0214</f>
        <v>158.59754073966852</v>
      </c>
      <c r="D40" s="16">
        <f t="shared" ref="D40:L40" si="17">D39*0.0214</f>
        <v>209.43808385058227</v>
      </c>
      <c r="E40" s="16">
        <f t="shared" si="17"/>
        <v>9.151313427024407</v>
      </c>
      <c r="F40" s="16">
        <f t="shared" si="17"/>
        <v>9.6803339443650014</v>
      </c>
      <c r="G40" s="16">
        <f t="shared" si="17"/>
        <v>22.038449006224834</v>
      </c>
      <c r="H40" s="16">
        <f t="shared" si="17"/>
        <v>7.297745208341949</v>
      </c>
      <c r="I40" s="16">
        <f t="shared" si="17"/>
        <v>40.082039623512465</v>
      </c>
      <c r="J40" s="16">
        <f t="shared" si="17"/>
        <v>77.765298446195089</v>
      </c>
      <c r="K40" s="16">
        <f t="shared" si="17"/>
        <v>26.757589494013477</v>
      </c>
      <c r="L40" s="31">
        <f t="shared" si="17"/>
        <v>112766.08667917384</v>
      </c>
    </row>
    <row r="41" spans="1:12" s="51" customFormat="1" ht="20.100000000000001" hidden="1" customHeight="1" x14ac:dyDescent="0.25">
      <c r="A41" s="341"/>
      <c r="B41" s="322"/>
      <c r="C41" s="16">
        <f>12530/4654</f>
        <v>2.6923076923076925</v>
      </c>
      <c r="D41" s="16">
        <f>9303/465.4</f>
        <v>19.989256553502365</v>
      </c>
      <c r="E41" s="16">
        <f>12834/4654</f>
        <v>2.757627847013322</v>
      </c>
      <c r="F41" s="16">
        <f>64648/2/4654</f>
        <v>6.9454232917920065</v>
      </c>
      <c r="G41" s="16">
        <f>58392/4654</f>
        <v>12.546626557799742</v>
      </c>
      <c r="H41" s="16">
        <f>F41</f>
        <v>6.9454232917920065</v>
      </c>
      <c r="I41" s="32">
        <f>68819/4654</f>
        <v>14.787064890416845</v>
      </c>
      <c r="J41" s="32">
        <f>2241/4654</f>
        <v>0.48152127202406531</v>
      </c>
      <c r="K41" s="16">
        <f>J41</f>
        <v>0.48152127202406531</v>
      </c>
      <c r="L41" s="31">
        <f>25996.28</f>
        <v>25996.28</v>
      </c>
    </row>
    <row r="42" spans="1:12" s="51" customFormat="1" ht="20.100000000000001" hidden="1" customHeight="1" thickBot="1" x14ac:dyDescent="0.3">
      <c r="A42" s="341"/>
      <c r="B42" s="322"/>
      <c r="C42" s="18">
        <f>86.77*P4</f>
        <v>107.47309365789472</v>
      </c>
      <c r="D42" s="18">
        <f>28.07*P4</f>
        <v>34.767428131578946</v>
      </c>
      <c r="E42" s="18">
        <f>58.57*P4</f>
        <v>72.544647868421052</v>
      </c>
      <c r="F42" s="18">
        <f>43.01*P4</f>
        <v>53.272072815789464</v>
      </c>
      <c r="G42" s="18">
        <f>43.01*P4</f>
        <v>53.272072815789464</v>
      </c>
      <c r="H42" s="18">
        <f>43.01*P4</f>
        <v>53.272072815789464</v>
      </c>
      <c r="I42" s="19">
        <f>56.55*P4</f>
        <v>70.042681184210522</v>
      </c>
      <c r="J42" s="19">
        <f>69.95*P4</f>
        <v>86.639885921052624</v>
      </c>
      <c r="K42" s="18">
        <f>30.09*P4</f>
        <v>37.269394815789468</v>
      </c>
      <c r="L42" s="29">
        <f>174890.4*P4</f>
        <v>216618.78920210522</v>
      </c>
    </row>
    <row r="43" spans="1:12" s="51" customFormat="1" ht="20.100000000000001" customHeight="1" thickBot="1" x14ac:dyDescent="0.3">
      <c r="A43" s="341"/>
      <c r="B43" s="323"/>
      <c r="C43" s="18">
        <f>C42+C41</f>
        <v>110.16540135020242</v>
      </c>
      <c r="D43" s="18">
        <f t="shared" ref="D43:L43" si="18">D42+D41</f>
        <v>54.756684685081311</v>
      </c>
      <c r="E43" s="18">
        <f t="shared" si="18"/>
        <v>75.302275715434376</v>
      </c>
      <c r="F43" s="18">
        <f t="shared" si="18"/>
        <v>60.217496107581468</v>
      </c>
      <c r="G43" s="18">
        <f t="shared" si="18"/>
        <v>65.818699373589212</v>
      </c>
      <c r="H43" s="18">
        <f t="shared" si="18"/>
        <v>60.217496107581468</v>
      </c>
      <c r="I43" s="18">
        <f t="shared" si="18"/>
        <v>84.829746074627366</v>
      </c>
      <c r="J43" s="18">
        <f t="shared" si="18"/>
        <v>87.121407193076692</v>
      </c>
      <c r="K43" s="18">
        <f t="shared" si="18"/>
        <v>37.750916087813536</v>
      </c>
      <c r="L43" s="41">
        <f t="shared" si="18"/>
        <v>242615.06920210522</v>
      </c>
    </row>
    <row r="44" spans="1:12" s="51" customFormat="1" ht="20.100000000000001" customHeight="1" thickBot="1" x14ac:dyDescent="0.3">
      <c r="A44" s="345"/>
      <c r="B44" s="265" t="s">
        <v>212</v>
      </c>
      <c r="C44" s="36">
        <f>SUM(C39:C42)</f>
        <v>7679.8629766538197</v>
      </c>
      <c r="D44" s="36">
        <f t="shared" ref="D44:L44" si="19">SUM(D39:D42)</f>
        <v>10051.021116693715</v>
      </c>
      <c r="E44" s="36">
        <f t="shared" si="19"/>
        <v>512.08505769500118</v>
      </c>
      <c r="F44" s="36">
        <f t="shared" si="19"/>
        <v>522.24988352694652</v>
      </c>
      <c r="G44" s="36">
        <f t="shared" si="19"/>
        <v>1117.691214091255</v>
      </c>
      <c r="H44" s="36">
        <f t="shared" si="19"/>
        <v>408.53137254685561</v>
      </c>
      <c r="I44" s="36">
        <f t="shared" si="19"/>
        <v>1997.9042914697502</v>
      </c>
      <c r="J44" s="36">
        <f t="shared" si="19"/>
        <v>3798.7791563960518</v>
      </c>
      <c r="K44" s="36">
        <f t="shared" si="19"/>
        <v>1314.8631548347932</v>
      </c>
      <c r="L44" s="71">
        <f t="shared" si="19"/>
        <v>5624824.458646412</v>
      </c>
    </row>
    <row r="45" spans="1:12" s="51" customFormat="1" ht="20.100000000000001" hidden="1" customHeight="1" x14ac:dyDescent="0.25">
      <c r="A45" s="327" t="s">
        <v>922</v>
      </c>
      <c r="B45" s="321" t="s">
        <v>142</v>
      </c>
      <c r="C45" s="23">
        <v>4314.1085318534451</v>
      </c>
      <c r="D45" s="23">
        <v>5712.3450000000003</v>
      </c>
      <c r="E45" s="23">
        <v>251.88900000000004</v>
      </c>
      <c r="F45" s="23">
        <v>267.22000000000003</v>
      </c>
      <c r="G45" s="23">
        <v>608.35</v>
      </c>
      <c r="H45" s="23">
        <v>275.01</v>
      </c>
      <c r="I45" s="23">
        <v>1091.3025</v>
      </c>
      <c r="J45" s="23">
        <v>2113.3049999999998</v>
      </c>
      <c r="K45" s="23">
        <v>731.40000000000009</v>
      </c>
      <c r="L45" s="33">
        <v>3064283.5692000007</v>
      </c>
    </row>
    <row r="46" spans="1:12" s="51" customFormat="1" ht="20.100000000000001" customHeight="1" x14ac:dyDescent="0.25">
      <c r="A46" s="327"/>
      <c r="B46" s="322"/>
      <c r="C46" s="23">
        <f>C45/11.8*19.53*1.039</f>
        <v>7418.6836163181861</v>
      </c>
      <c r="D46" s="23">
        <f t="shared" ref="D46:L46" si="20">D45/11.8*19.53*1.039</f>
        <v>9823.137259843219</v>
      </c>
      <c r="E46" s="23">
        <f t="shared" si="20"/>
        <v>433.1566495449153</v>
      </c>
      <c r="F46" s="23">
        <f t="shared" si="20"/>
        <v>459.52034384745758</v>
      </c>
      <c r="G46" s="23">
        <f t="shared" si="20"/>
        <v>1046.1387664830509</v>
      </c>
      <c r="H46" s="23">
        <f t="shared" si="20"/>
        <v>472.91628531355929</v>
      </c>
      <c r="I46" s="23">
        <f t="shared" si="20"/>
        <v>1876.6398474724574</v>
      </c>
      <c r="J46" s="23">
        <f t="shared" si="20"/>
        <v>3634.109124521186</v>
      </c>
      <c r="K46" s="23">
        <f t="shared" si="20"/>
        <v>1257.7396133898308</v>
      </c>
      <c r="L46" s="33">
        <f t="shared" si="20"/>
        <v>5269443.3027651329</v>
      </c>
    </row>
    <row r="47" spans="1:12" s="51" customFormat="1" ht="20.100000000000001" customHeight="1" x14ac:dyDescent="0.25">
      <c r="A47" s="327"/>
      <c r="B47" s="322"/>
      <c r="C47" s="16">
        <f>C46*0.0214</f>
        <v>158.75982938920919</v>
      </c>
      <c r="D47" s="16">
        <f t="shared" ref="D47:L47" si="21">D46*0.0214</f>
        <v>210.21513736064489</v>
      </c>
      <c r="E47" s="16">
        <f t="shared" si="21"/>
        <v>9.2695523002611875</v>
      </c>
      <c r="F47" s="16">
        <f t="shared" si="21"/>
        <v>9.8337353583355913</v>
      </c>
      <c r="G47" s="16">
        <f t="shared" si="21"/>
        <v>22.387369602737287</v>
      </c>
      <c r="H47" s="16">
        <f t="shared" si="21"/>
        <v>10.120408505710168</v>
      </c>
      <c r="I47" s="16">
        <f t="shared" si="21"/>
        <v>40.160092735910588</v>
      </c>
      <c r="J47" s="16">
        <f t="shared" si="21"/>
        <v>77.769935264753371</v>
      </c>
      <c r="K47" s="16">
        <f t="shared" si="21"/>
        <v>26.915627726542375</v>
      </c>
      <c r="L47" s="31">
        <f t="shared" si="21"/>
        <v>112766.08667917384</v>
      </c>
    </row>
    <row r="48" spans="1:12" s="51" customFormat="1" ht="20.100000000000001" hidden="1" customHeight="1" x14ac:dyDescent="0.25">
      <c r="A48" s="327"/>
      <c r="B48" s="322"/>
      <c r="C48" s="16">
        <f>14441/5364</f>
        <v>2.6922073079791202</v>
      </c>
      <c r="D48" s="16">
        <f>10722/447</f>
        <v>23.986577181208055</v>
      </c>
      <c r="E48" s="16">
        <f>14792/5364</f>
        <v>2.7576435495898584</v>
      </c>
      <c r="F48" s="16">
        <f>74515/2/5364</f>
        <v>6.9458426547352721</v>
      </c>
      <c r="G48" s="16">
        <f>67304/5364</f>
        <v>12.547352721849366</v>
      </c>
      <c r="H48" s="16">
        <f>F48</f>
        <v>6.9458426547352721</v>
      </c>
      <c r="I48" s="32">
        <f>96148/5364</f>
        <v>17.92468307233408</v>
      </c>
      <c r="J48" s="32">
        <f>2583/5364</f>
        <v>0.48154362416107382</v>
      </c>
      <c r="K48" s="16">
        <f>J48</f>
        <v>0.48154362416107382</v>
      </c>
      <c r="L48" s="31">
        <v>26000.15</v>
      </c>
    </row>
    <row r="49" spans="1:12" s="51" customFormat="1" ht="20.100000000000001" hidden="1" customHeight="1" thickBot="1" x14ac:dyDescent="0.3">
      <c r="A49" s="327"/>
      <c r="B49" s="322"/>
      <c r="C49" s="18">
        <f>86.77*P4</f>
        <v>107.47309365789472</v>
      </c>
      <c r="D49" s="18">
        <f>28.09*P4</f>
        <v>34.792200078947367</v>
      </c>
      <c r="E49" s="18">
        <f>(1/5364)*310777*P4</f>
        <v>71.761292760214289</v>
      </c>
      <c r="F49" s="18">
        <f>42.99*P4</f>
        <v>53.24730086842105</v>
      </c>
      <c r="G49" s="18">
        <f>42.99*P4</f>
        <v>53.24730086842105</v>
      </c>
      <c r="H49" s="18">
        <f>42.99*P4</f>
        <v>53.24730086842105</v>
      </c>
      <c r="I49" s="19">
        <f>56.56*P4</f>
        <v>70.055067157894726</v>
      </c>
      <c r="J49" s="19">
        <f>70.01*P4</f>
        <v>86.714201763157888</v>
      </c>
      <c r="K49" s="18">
        <f>30.1*P4</f>
        <v>37.281780789473679</v>
      </c>
      <c r="L49" s="34">
        <f>174890.4*P4</f>
        <v>216618.78920210522</v>
      </c>
    </row>
    <row r="50" spans="1:12" s="51" customFormat="1" ht="20.100000000000001" customHeight="1" thickBot="1" x14ac:dyDescent="0.3">
      <c r="A50" s="327"/>
      <c r="B50" s="323"/>
      <c r="C50" s="18">
        <f>C49+C48</f>
        <v>110.16530096587384</v>
      </c>
      <c r="D50" s="18">
        <f t="shared" ref="D50:L50" si="22">D49+D48</f>
        <v>58.778777260155422</v>
      </c>
      <c r="E50" s="18">
        <f t="shared" si="22"/>
        <v>74.518936309804147</v>
      </c>
      <c r="F50" s="18">
        <f t="shared" si="22"/>
        <v>60.193143523156323</v>
      </c>
      <c r="G50" s="18">
        <f t="shared" si="22"/>
        <v>65.794653590270414</v>
      </c>
      <c r="H50" s="18">
        <f t="shared" si="22"/>
        <v>60.193143523156323</v>
      </c>
      <c r="I50" s="18">
        <f t="shared" si="22"/>
        <v>87.979750230228802</v>
      </c>
      <c r="J50" s="18">
        <f t="shared" si="22"/>
        <v>87.195745387318965</v>
      </c>
      <c r="K50" s="18">
        <f t="shared" si="22"/>
        <v>37.763324413634756</v>
      </c>
      <c r="L50" s="41">
        <f t="shared" si="22"/>
        <v>242618.93920210522</v>
      </c>
    </row>
    <row r="51" spans="1:12" s="51" customFormat="1" ht="20.100000000000001" customHeight="1" thickBot="1" x14ac:dyDescent="0.3">
      <c r="A51" s="328"/>
      <c r="B51" s="265" t="s">
        <v>212</v>
      </c>
      <c r="C51" s="36">
        <f>SUM(C46:C49)</f>
        <v>7687.6087466732688</v>
      </c>
      <c r="D51" s="36">
        <f t="shared" ref="D51:L51" si="23">SUM(D46:D49)</f>
        <v>10092.131174464019</v>
      </c>
      <c r="E51" s="36">
        <f t="shared" si="23"/>
        <v>516.94513815498067</v>
      </c>
      <c r="F51" s="36">
        <f t="shared" si="23"/>
        <v>529.54722272894946</v>
      </c>
      <c r="G51" s="36">
        <f t="shared" si="23"/>
        <v>1134.3207896760584</v>
      </c>
      <c r="H51" s="36">
        <f t="shared" si="23"/>
        <v>543.22983734242575</v>
      </c>
      <c r="I51" s="36">
        <f t="shared" si="23"/>
        <v>2004.7796904385968</v>
      </c>
      <c r="J51" s="36">
        <f t="shared" si="23"/>
        <v>3799.074805173258</v>
      </c>
      <c r="K51" s="36">
        <f t="shared" si="23"/>
        <v>1322.418565530008</v>
      </c>
      <c r="L51" s="71">
        <f t="shared" si="23"/>
        <v>5624828.3286464121</v>
      </c>
    </row>
    <row r="52" spans="1:12" s="51" customFormat="1" ht="20.100000000000001" hidden="1" customHeight="1" x14ac:dyDescent="0.25">
      <c r="A52" s="327" t="s">
        <v>923</v>
      </c>
      <c r="B52" s="324" t="s">
        <v>141</v>
      </c>
      <c r="C52" s="16">
        <v>4029.4388452176472</v>
      </c>
      <c r="D52" s="16">
        <v>6961.7233875000011</v>
      </c>
      <c r="E52" s="16">
        <v>623.42397068871253</v>
      </c>
      <c r="F52" s="16">
        <v>397.12146829201555</v>
      </c>
      <c r="G52" s="16">
        <v>992.44865212157265</v>
      </c>
      <c r="H52" s="16">
        <v>425.80229714295507</v>
      </c>
      <c r="I52" s="16">
        <v>2407.6992591478197</v>
      </c>
      <c r="J52" s="16">
        <v>2028.0692250878076</v>
      </c>
      <c r="K52" s="16" t="s">
        <v>131</v>
      </c>
      <c r="L52" s="21" t="s">
        <v>131</v>
      </c>
    </row>
    <row r="53" spans="1:12" s="51" customFormat="1" ht="20.100000000000001" customHeight="1" x14ac:dyDescent="0.25">
      <c r="A53" s="341"/>
      <c r="B53" s="325"/>
      <c r="C53" s="16">
        <f>C52/13.19*19.53*1.039*1.15</f>
        <v>7128.7831563448226</v>
      </c>
      <c r="D53" s="16">
        <f t="shared" ref="D53:J53" si="24">D52/13.19*19.53*1.039</f>
        <v>10710.007097075979</v>
      </c>
      <c r="E53" s="16">
        <f t="shared" si="24"/>
        <v>959.08366059931973</v>
      </c>
      <c r="F53" s="16">
        <f t="shared" si="24"/>
        <v>610.93690557217917</v>
      </c>
      <c r="G53" s="16">
        <f t="shared" si="24"/>
        <v>1526.7960986198448</v>
      </c>
      <c r="H53" s="16">
        <f t="shared" si="24"/>
        <v>655.05987102856602</v>
      </c>
      <c r="I53" s="16">
        <f t="shared" si="24"/>
        <v>3704.0363021889339</v>
      </c>
      <c r="J53" s="16">
        <f t="shared" si="24"/>
        <v>3120.0084497829807</v>
      </c>
      <c r="K53" s="16" t="s">
        <v>131</v>
      </c>
      <c r="L53" s="15" t="s">
        <v>131</v>
      </c>
    </row>
    <row r="54" spans="1:12" s="51" customFormat="1" ht="20.100000000000001" customHeight="1" x14ac:dyDescent="0.25">
      <c r="A54" s="341"/>
      <c r="B54" s="325"/>
      <c r="C54" s="16">
        <f>C53*0.0214</f>
        <v>152.55595954577919</v>
      </c>
      <c r="D54" s="16">
        <f t="shared" ref="D54:J54" si="25">D53*0.0214</f>
        <v>229.19415187742592</v>
      </c>
      <c r="E54" s="16">
        <f t="shared" si="25"/>
        <v>20.524390336825441</v>
      </c>
      <c r="F54" s="16">
        <f t="shared" si="25"/>
        <v>13.074049779244634</v>
      </c>
      <c r="G54" s="16">
        <f t="shared" si="25"/>
        <v>32.673436510464676</v>
      </c>
      <c r="H54" s="16">
        <f t="shared" si="25"/>
        <v>14.018281240011312</v>
      </c>
      <c r="I54" s="16">
        <f t="shared" si="25"/>
        <v>79.266376866843174</v>
      </c>
      <c r="J54" s="16">
        <f t="shared" si="25"/>
        <v>66.768180825355785</v>
      </c>
      <c r="K54" s="16" t="s">
        <v>131</v>
      </c>
      <c r="L54" s="15" t="s">
        <v>131</v>
      </c>
    </row>
    <row r="55" spans="1:12" s="51" customFormat="1" ht="20.100000000000001" hidden="1" customHeight="1" x14ac:dyDescent="0.25">
      <c r="A55" s="341"/>
      <c r="B55" s="325"/>
      <c r="C55" s="16">
        <f>40399/4803.6</f>
        <v>8.4101507202931121</v>
      </c>
      <c r="D55" s="16">
        <f>29994/2401.8</f>
        <v>12.488133899575317</v>
      </c>
      <c r="E55" s="16">
        <f>13248/4803.6</f>
        <v>2.7579315513364975</v>
      </c>
      <c r="F55" s="16">
        <f>51661/2/4803.6</f>
        <v>5.3773211757848278</v>
      </c>
      <c r="G55" s="16">
        <f>60271/4803.6</f>
        <v>12.547048047297858</v>
      </c>
      <c r="H55" s="16">
        <f>F55</f>
        <v>5.3773211757848278</v>
      </c>
      <c r="I55" s="16">
        <f>71034/4803.6</f>
        <v>14.78765925555833</v>
      </c>
      <c r="J55" s="16">
        <f>7225/4803.6</f>
        <v>1.5040802731284868</v>
      </c>
      <c r="K55" s="16" t="s">
        <v>131</v>
      </c>
      <c r="L55" s="15" t="s">
        <v>131</v>
      </c>
    </row>
    <row r="56" spans="1:12" s="51" customFormat="1" ht="20.100000000000001" hidden="1" customHeight="1" x14ac:dyDescent="0.25">
      <c r="A56" s="341"/>
      <c r="B56" s="325"/>
      <c r="C56" s="10">
        <f>(1/1275.8)*85059.84*1.2*P4</f>
        <v>99.095369790546258</v>
      </c>
      <c r="D56" s="10">
        <f>(1/1275.8)*72300.66*1.2*P4</f>
        <v>84.230826660390591</v>
      </c>
      <c r="E56" s="10">
        <f>(1/1275.8)*56706.9*1.2*P4</f>
        <v>66.063975962987101</v>
      </c>
      <c r="F56" s="22">
        <f>(1/1275.8)*42529.92*1.2</f>
        <v>40.003060040758733</v>
      </c>
      <c r="G56" s="22">
        <f>(1/1275.9)*42529.92*1.2*P4</f>
        <v>49.543801543529632</v>
      </c>
      <c r="H56" s="22">
        <f>(1/1275.8)*42529.92*1.2*P4</f>
        <v>49.547684895273129</v>
      </c>
      <c r="I56" s="22">
        <f>(1/1275.8)*55998*1.2*P4</f>
        <v>65.238101994207966</v>
      </c>
      <c r="J56" s="22">
        <f>(1/1275.8)*69466.08*1.2*P4</f>
        <v>80.928519093142796</v>
      </c>
      <c r="K56" s="10" t="s">
        <v>131</v>
      </c>
      <c r="L56" s="26" t="s">
        <v>131</v>
      </c>
    </row>
    <row r="57" spans="1:12" s="51" customFormat="1" ht="20.100000000000001" customHeight="1" thickBot="1" x14ac:dyDescent="0.3">
      <c r="A57" s="341"/>
      <c r="B57" s="326"/>
      <c r="C57" s="9">
        <f>C56+C55</f>
        <v>107.50552051083937</v>
      </c>
      <c r="D57" s="9">
        <f t="shared" ref="D57:J57" si="26">D56+D55</f>
        <v>96.718960559965907</v>
      </c>
      <c r="E57" s="9">
        <f t="shared" si="26"/>
        <v>68.821907514323598</v>
      </c>
      <c r="F57" s="9">
        <f t="shared" si="26"/>
        <v>45.380381216543562</v>
      </c>
      <c r="G57" s="9">
        <f t="shared" si="26"/>
        <v>62.090849590827489</v>
      </c>
      <c r="H57" s="9">
        <f t="shared" si="26"/>
        <v>54.925006071057958</v>
      </c>
      <c r="I57" s="9">
        <f t="shared" si="26"/>
        <v>80.02576124976629</v>
      </c>
      <c r="J57" s="9">
        <f t="shared" si="26"/>
        <v>82.432599366271276</v>
      </c>
      <c r="K57" s="9" t="s">
        <v>131</v>
      </c>
      <c r="L57" s="20" t="s">
        <v>131</v>
      </c>
    </row>
    <row r="58" spans="1:12" s="51" customFormat="1" ht="20.100000000000001" customHeight="1" thickBot="1" x14ac:dyDescent="0.3">
      <c r="A58" s="345"/>
      <c r="B58" s="265" t="s">
        <v>212</v>
      </c>
      <c r="C58" s="36">
        <f t="shared" ref="C58:J58" si="27">SUM(C53:C56)</f>
        <v>7388.8446364014408</v>
      </c>
      <c r="D58" s="36">
        <f t="shared" si="27"/>
        <v>11035.92020951337</v>
      </c>
      <c r="E58" s="36">
        <f t="shared" si="27"/>
        <v>1048.4299584504688</v>
      </c>
      <c r="F58" s="36">
        <f t="shared" si="27"/>
        <v>669.39133656796741</v>
      </c>
      <c r="G58" s="36">
        <f t="shared" si="27"/>
        <v>1621.5603847211369</v>
      </c>
      <c r="H58" s="36">
        <f t="shared" si="27"/>
        <v>724.00315833963532</v>
      </c>
      <c r="I58" s="36">
        <f t="shared" si="27"/>
        <v>3863.3284403055436</v>
      </c>
      <c r="J58" s="36">
        <f t="shared" si="27"/>
        <v>3269.2092299746082</v>
      </c>
      <c r="K58" s="36" t="s">
        <v>131</v>
      </c>
      <c r="L58" s="34" t="s">
        <v>131</v>
      </c>
    </row>
    <row r="59" spans="1:12" s="51" customFormat="1" ht="20.100000000000001" hidden="1" customHeight="1" thickBot="1" x14ac:dyDescent="0.3">
      <c r="A59" s="340" t="s">
        <v>924</v>
      </c>
      <c r="B59" s="321" t="s">
        <v>228</v>
      </c>
      <c r="C59" s="9">
        <v>5910.3670256385276</v>
      </c>
      <c r="D59" s="9">
        <v>7254.2696539534882</v>
      </c>
      <c r="E59" s="9">
        <v>988.54127266523699</v>
      </c>
      <c r="F59" s="9">
        <v>566.00674585689228</v>
      </c>
      <c r="G59" s="9">
        <v>1298.0311944823554</v>
      </c>
      <c r="H59" s="9">
        <v>433.92951413530909</v>
      </c>
      <c r="I59" s="9">
        <v>2939.8829687073503</v>
      </c>
      <c r="J59" s="9">
        <v>3726.126227822188</v>
      </c>
      <c r="K59" s="9">
        <v>850.52484051472038</v>
      </c>
      <c r="L59" s="20" t="s">
        <v>131</v>
      </c>
    </row>
    <row r="60" spans="1:12" s="51" customFormat="1" ht="20.100000000000001" customHeight="1" x14ac:dyDescent="0.25">
      <c r="A60" s="327"/>
      <c r="B60" s="322"/>
      <c r="C60" s="10">
        <f>C59/13.19*19.53*1.039*1.15</f>
        <v>10456.474590796764</v>
      </c>
      <c r="D60" s="10">
        <f t="shared" ref="D60:K60" si="28">D59/13.19*19.53*1.039</f>
        <v>11160.064132603364</v>
      </c>
      <c r="E60" s="10">
        <f t="shared" si="28"/>
        <v>1520.7849345188029</v>
      </c>
      <c r="F60" s="10">
        <f t="shared" si="28"/>
        <v>870.75224448081315</v>
      </c>
      <c r="G60" s="10">
        <f t="shared" si="28"/>
        <v>1996.9083129751159</v>
      </c>
      <c r="H60" s="10">
        <f t="shared" si="28"/>
        <v>667.5628888623221</v>
      </c>
      <c r="I60" s="10">
        <f t="shared" si="28"/>
        <v>4522.7547414427509</v>
      </c>
      <c r="J60" s="10">
        <f t="shared" si="28"/>
        <v>5732.3217432382598</v>
      </c>
      <c r="K60" s="10">
        <f t="shared" si="28"/>
        <v>1308.458634611625</v>
      </c>
      <c r="L60" s="26" t="s">
        <v>131</v>
      </c>
    </row>
    <row r="61" spans="1:12" s="51" customFormat="1" ht="20.100000000000001" customHeight="1" x14ac:dyDescent="0.25">
      <c r="A61" s="327"/>
      <c r="B61" s="322"/>
      <c r="C61" s="16">
        <f>C60*0.0214</f>
        <v>223.76855624305074</v>
      </c>
      <c r="D61" s="16">
        <f t="shared" ref="D61:K61" si="29">D60*0.0214</f>
        <v>238.82537243771196</v>
      </c>
      <c r="E61" s="16">
        <f t="shared" si="29"/>
        <v>32.544797598702381</v>
      </c>
      <c r="F61" s="16">
        <f t="shared" si="29"/>
        <v>18.634098031889401</v>
      </c>
      <c r="G61" s="16">
        <f t="shared" si="29"/>
        <v>42.733837897667478</v>
      </c>
      <c r="H61" s="16">
        <f t="shared" si="29"/>
        <v>14.285845821653693</v>
      </c>
      <c r="I61" s="16">
        <f t="shared" si="29"/>
        <v>96.786951466874868</v>
      </c>
      <c r="J61" s="16">
        <f t="shared" si="29"/>
        <v>122.67168530529875</v>
      </c>
      <c r="K61" s="16">
        <f t="shared" si="29"/>
        <v>28.001014780688774</v>
      </c>
      <c r="L61" s="15" t="s">
        <v>131</v>
      </c>
    </row>
    <row r="62" spans="1:12" s="51" customFormat="1" ht="20.100000000000001" hidden="1" customHeight="1" x14ac:dyDescent="0.25">
      <c r="A62" s="327"/>
      <c r="B62" s="322"/>
      <c r="C62" s="16">
        <f>7982/1025.8</f>
        <v>7.7812439071943853</v>
      </c>
      <c r="D62" s="16">
        <f>5926/342</f>
        <v>17.327485380116958</v>
      </c>
      <c r="E62" s="16">
        <f>2829/1025.8</f>
        <v>2.7578475336322872</v>
      </c>
      <c r="F62" s="16">
        <f>4596/2/1025.8</f>
        <v>2.2402027685708714</v>
      </c>
      <c r="G62" s="16">
        <f>4136/1025.8</f>
        <v>4.0319750438682007</v>
      </c>
      <c r="H62" s="16">
        <f>F62</f>
        <v>2.2402027685708714</v>
      </c>
      <c r="I62" s="16">
        <f>6894/1025.8</f>
        <v>6.7206083057126147</v>
      </c>
      <c r="J62" s="16">
        <f>1428/1025.8</f>
        <v>1.3920842269448237</v>
      </c>
      <c r="K62" s="16">
        <f>J62</f>
        <v>1.3920842269448237</v>
      </c>
      <c r="L62" s="15" t="s">
        <v>131</v>
      </c>
    </row>
    <row r="63" spans="1:12" s="51" customFormat="1" ht="20.100000000000001" hidden="1" customHeight="1" thickBot="1" x14ac:dyDescent="0.3">
      <c r="A63" s="327"/>
      <c r="B63" s="322"/>
      <c r="C63" s="27">
        <v>132.43083063157894</v>
      </c>
      <c r="D63" s="18">
        <v>115.85839784210526</v>
      </c>
      <c r="E63" s="18">
        <v>93.043434315789469</v>
      </c>
      <c r="F63" s="27">
        <v>68.469662526315787</v>
      </c>
      <c r="G63" s="18">
        <v>68.469662526315787</v>
      </c>
      <c r="H63" s="27">
        <v>68.469662526315787</v>
      </c>
      <c r="I63" s="28">
        <v>105.429408</v>
      </c>
      <c r="J63" s="28">
        <v>120.70131355263158</v>
      </c>
      <c r="K63" s="27">
        <v>40.502133947368421</v>
      </c>
      <c r="L63" s="29" t="s">
        <v>131</v>
      </c>
    </row>
    <row r="64" spans="1:12" s="51" customFormat="1" ht="20.100000000000001" customHeight="1" thickBot="1" x14ac:dyDescent="0.3">
      <c r="A64" s="327"/>
      <c r="B64" s="323"/>
      <c r="C64" s="18">
        <f>C63+C62</f>
        <v>140.21207453877332</v>
      </c>
      <c r="D64" s="18">
        <f t="shared" ref="D64:K64" si="30">D63+D62</f>
        <v>133.18588322222223</v>
      </c>
      <c r="E64" s="18">
        <f t="shared" si="30"/>
        <v>95.801281849421756</v>
      </c>
      <c r="F64" s="18">
        <f t="shared" si="30"/>
        <v>70.709865294886654</v>
      </c>
      <c r="G64" s="18">
        <f t="shared" si="30"/>
        <v>72.501637570183988</v>
      </c>
      <c r="H64" s="18">
        <f t="shared" si="30"/>
        <v>70.709865294886654</v>
      </c>
      <c r="I64" s="18">
        <f t="shared" si="30"/>
        <v>112.15001630571261</v>
      </c>
      <c r="J64" s="18">
        <f t="shared" si="30"/>
        <v>122.09339777957639</v>
      </c>
      <c r="K64" s="18">
        <f t="shared" si="30"/>
        <v>41.894218174313245</v>
      </c>
      <c r="L64" s="34" t="s">
        <v>131</v>
      </c>
    </row>
    <row r="65" spans="1:12" s="51" customFormat="1" ht="20.100000000000001" customHeight="1" thickBot="1" x14ac:dyDescent="0.3">
      <c r="A65" s="328"/>
      <c r="B65" s="265" t="s">
        <v>212</v>
      </c>
      <c r="C65" s="18">
        <f>SUM(C60:C63)</f>
        <v>10820.45522157859</v>
      </c>
      <c r="D65" s="18">
        <f t="shared" ref="D65:K65" si="31">SUM(D60:D63)</f>
        <v>11532.075388263298</v>
      </c>
      <c r="E65" s="18">
        <f t="shared" si="31"/>
        <v>1649.131013966927</v>
      </c>
      <c r="F65" s="18">
        <f t="shared" si="31"/>
        <v>960.09620780758917</v>
      </c>
      <c r="G65" s="18">
        <f t="shared" si="31"/>
        <v>2112.1437884429674</v>
      </c>
      <c r="H65" s="18">
        <f t="shared" si="31"/>
        <v>752.55859997886239</v>
      </c>
      <c r="I65" s="18">
        <f t="shared" si="31"/>
        <v>4731.6917092153381</v>
      </c>
      <c r="J65" s="18">
        <f t="shared" si="31"/>
        <v>5977.0868263231341</v>
      </c>
      <c r="K65" s="18">
        <f t="shared" si="31"/>
        <v>1378.3538675666273</v>
      </c>
      <c r="L65" s="41" t="s">
        <v>131</v>
      </c>
    </row>
    <row r="66" spans="1:12" s="51" customFormat="1" ht="20.100000000000001" hidden="1" customHeight="1" thickBot="1" x14ac:dyDescent="0.3">
      <c r="A66" s="327" t="s">
        <v>925</v>
      </c>
      <c r="B66" s="321" t="s">
        <v>6</v>
      </c>
      <c r="C66" s="9">
        <v>3698.8726264227644</v>
      </c>
      <c r="D66" s="9">
        <v>5745.9089589430887</v>
      </c>
      <c r="E66" s="9">
        <v>474.66006562983745</v>
      </c>
      <c r="F66" s="9">
        <v>608.83834410569114</v>
      </c>
      <c r="G66" s="9">
        <v>1325.4379563008129</v>
      </c>
      <c r="H66" s="9">
        <v>463.12008704909687</v>
      </c>
      <c r="I66" s="9">
        <v>2034.6811376016262</v>
      </c>
      <c r="J66" s="9">
        <v>1985.3461864524095</v>
      </c>
      <c r="K66" s="9">
        <v>1241.9311157428242</v>
      </c>
      <c r="L66" s="20" t="s">
        <v>131</v>
      </c>
    </row>
    <row r="67" spans="1:12" s="51" customFormat="1" ht="20.100000000000001" customHeight="1" x14ac:dyDescent="0.25">
      <c r="A67" s="327"/>
      <c r="B67" s="322"/>
      <c r="C67" s="10">
        <f>C66/13.19*19.53*1.039*1.15</f>
        <v>6543.9536098191529</v>
      </c>
      <c r="D67" s="10">
        <f t="shared" ref="D67:K67" si="32">D66/13.19*19.53*1.039</f>
        <v>8839.5821413886806</v>
      </c>
      <c r="E67" s="10">
        <f t="shared" si="32"/>
        <v>730.22330659128158</v>
      </c>
      <c r="F67" s="10">
        <f t="shared" si="32"/>
        <v>936.64494025315616</v>
      </c>
      <c r="G67" s="10">
        <f t="shared" si="32"/>
        <v>2039.0712369014796</v>
      </c>
      <c r="H67" s="10">
        <f t="shared" si="32"/>
        <v>712.47005130944262</v>
      </c>
      <c r="I67" s="10">
        <f t="shared" si="32"/>
        <v>3130.1803032173452</v>
      </c>
      <c r="J67" s="10">
        <f t="shared" si="32"/>
        <v>3054.2827635519911</v>
      </c>
      <c r="K67" s="10">
        <f t="shared" si="32"/>
        <v>1910.6032117805303</v>
      </c>
      <c r="L67" s="26" t="s">
        <v>131</v>
      </c>
    </row>
    <row r="68" spans="1:12" s="51" customFormat="1" ht="20.100000000000001" customHeight="1" x14ac:dyDescent="0.25">
      <c r="A68" s="327"/>
      <c r="B68" s="322"/>
      <c r="C68" s="16">
        <f>C67*0.0214</f>
        <v>140.04060725012985</v>
      </c>
      <c r="D68" s="16">
        <f t="shared" ref="D68:K68" si="33">D67*0.0214</f>
        <v>189.16705782571776</v>
      </c>
      <c r="E68" s="16">
        <f t="shared" si="33"/>
        <v>15.626778761053425</v>
      </c>
      <c r="F68" s="16">
        <f t="shared" si="33"/>
        <v>20.04420172141754</v>
      </c>
      <c r="G68" s="16">
        <f t="shared" si="33"/>
        <v>43.636124469691659</v>
      </c>
      <c r="H68" s="16">
        <f t="shared" si="33"/>
        <v>15.246859098022071</v>
      </c>
      <c r="I68" s="16">
        <f t="shared" si="33"/>
        <v>66.985858488851179</v>
      </c>
      <c r="J68" s="16">
        <f t="shared" si="33"/>
        <v>65.361651140012611</v>
      </c>
      <c r="K68" s="16">
        <f t="shared" si="33"/>
        <v>40.886908732103343</v>
      </c>
      <c r="L68" s="15" t="s">
        <v>131</v>
      </c>
    </row>
    <row r="69" spans="1:12" s="51" customFormat="1" ht="20.100000000000001" hidden="1" customHeight="1" x14ac:dyDescent="0.25">
      <c r="A69" s="327"/>
      <c r="B69" s="322"/>
      <c r="C69" s="16">
        <v>7.6422764227642279</v>
      </c>
      <c r="D69" s="16">
        <f>8375/492</f>
        <v>17.022357723577237</v>
      </c>
      <c r="E69" s="16">
        <f>4070/1476</f>
        <v>2.7574525745257454</v>
      </c>
      <c r="F69" s="16">
        <f>9259/2/1476</f>
        <v>3.1365176151761518</v>
      </c>
      <c r="G69" s="16">
        <f>6614/1476</f>
        <v>4.4810298102981028</v>
      </c>
      <c r="H69" s="16">
        <f>F69</f>
        <v>3.1365176151761518</v>
      </c>
      <c r="I69" s="16">
        <f>9921/1476</f>
        <v>6.7215447154471546</v>
      </c>
      <c r="J69" s="16">
        <f>2017/1476</f>
        <v>1.3665311653116532</v>
      </c>
      <c r="K69" s="16">
        <f>J69</f>
        <v>1.3665311653116532</v>
      </c>
      <c r="L69" s="15" t="s">
        <v>131</v>
      </c>
    </row>
    <row r="70" spans="1:12" s="51" customFormat="1" ht="20.100000000000001" hidden="1" customHeight="1" thickBot="1" x14ac:dyDescent="0.3">
      <c r="A70" s="327"/>
      <c r="B70" s="322"/>
      <c r="C70" s="18">
        <f>(1/1476)*135995.58*1.2*P4</f>
        <v>136.94615244300383</v>
      </c>
      <c r="D70" s="18">
        <f>(1/1476)*115597*1.2*P4</f>
        <v>116.4049918677792</v>
      </c>
      <c r="E70" s="18">
        <f>(1/1476)*90664*1.2*P4</f>
        <v>91.297716919127069</v>
      </c>
      <c r="F70" s="18">
        <f>(1/1476)*67998*1.2*P4</f>
        <v>68.473287689345312</v>
      </c>
      <c r="G70" s="18">
        <f>(1/1476)*67998*1.2*P4</f>
        <v>68.473287689345312</v>
      </c>
      <c r="H70" s="18">
        <f>(1/1476)*67998*1.2*P4</f>
        <v>68.473287689345312</v>
      </c>
      <c r="I70" s="18">
        <f>(1/1476)*89531*1.2*P4</f>
        <v>90.15679755455713</v>
      </c>
      <c r="J70" s="18">
        <f>(1/1476)*111064*1.2*P4</f>
        <v>111.84030741976892</v>
      </c>
      <c r="K70" s="18">
        <f>(1/1476)*47598*1.2*P4</f>
        <v>47.930697188703455</v>
      </c>
      <c r="L70" s="34" t="s">
        <v>131</v>
      </c>
    </row>
    <row r="71" spans="1:12" s="51" customFormat="1" ht="20.100000000000001" customHeight="1" thickBot="1" x14ac:dyDescent="0.3">
      <c r="A71" s="327"/>
      <c r="B71" s="323"/>
      <c r="C71" s="18">
        <f>C70+C69</f>
        <v>144.58842886576807</v>
      </c>
      <c r="D71" s="18">
        <f t="shared" ref="D71:K71" si="34">D70+D69</f>
        <v>133.42734959135643</v>
      </c>
      <c r="E71" s="18">
        <f t="shared" si="34"/>
        <v>94.055169493652812</v>
      </c>
      <c r="F71" s="18">
        <f t="shared" si="34"/>
        <v>71.609805304521458</v>
      </c>
      <c r="G71" s="18">
        <f t="shared" si="34"/>
        <v>72.954317499643409</v>
      </c>
      <c r="H71" s="18">
        <f t="shared" si="34"/>
        <v>71.609805304521458</v>
      </c>
      <c r="I71" s="18">
        <f t="shared" si="34"/>
        <v>96.878342270004282</v>
      </c>
      <c r="J71" s="18">
        <f t="shared" si="34"/>
        <v>113.20683858508058</v>
      </c>
      <c r="K71" s="18">
        <f t="shared" si="34"/>
        <v>49.297228354015111</v>
      </c>
      <c r="L71" s="34" t="s">
        <v>131</v>
      </c>
    </row>
    <row r="72" spans="1:12" s="51" customFormat="1" ht="20.100000000000001" customHeight="1" thickBot="1" x14ac:dyDescent="0.3">
      <c r="A72" s="328"/>
      <c r="B72" s="265" t="s">
        <v>212</v>
      </c>
      <c r="C72" s="18">
        <f>SUM(C67:C70)</f>
        <v>6828.582645935051</v>
      </c>
      <c r="D72" s="18">
        <f t="shared" ref="D72:K72" si="35">SUM(D67:D70)</f>
        <v>9162.1765488057554</v>
      </c>
      <c r="E72" s="18">
        <f t="shared" si="35"/>
        <v>839.90525484598777</v>
      </c>
      <c r="F72" s="18">
        <f t="shared" si="35"/>
        <v>1028.298947279095</v>
      </c>
      <c r="G72" s="18">
        <f t="shared" si="35"/>
        <v>2155.6616788708147</v>
      </c>
      <c r="H72" s="18">
        <f t="shared" si="35"/>
        <v>799.32671571198603</v>
      </c>
      <c r="I72" s="18">
        <f t="shared" si="35"/>
        <v>3294.0445039762008</v>
      </c>
      <c r="J72" s="18">
        <f t="shared" si="35"/>
        <v>3232.8512532770847</v>
      </c>
      <c r="K72" s="18">
        <f t="shared" si="35"/>
        <v>2000.7873488666489</v>
      </c>
      <c r="L72" s="34" t="s">
        <v>131</v>
      </c>
    </row>
    <row r="73" spans="1:12" s="51" customFormat="1" ht="20.100000000000001" hidden="1" customHeight="1" thickBot="1" x14ac:dyDescent="0.3">
      <c r="A73" s="327" t="s">
        <v>926</v>
      </c>
      <c r="B73" s="321" t="s">
        <v>7</v>
      </c>
      <c r="C73" s="9">
        <v>5910.3670256385276</v>
      </c>
      <c r="D73" s="9">
        <v>7254.2696539534882</v>
      </c>
      <c r="E73" s="9">
        <v>988.54127266523699</v>
      </c>
      <c r="F73" s="9">
        <v>566.00674585689228</v>
      </c>
      <c r="G73" s="9">
        <v>1298.0311944823554</v>
      </c>
      <c r="H73" s="9">
        <v>433.92951413530909</v>
      </c>
      <c r="I73" s="9">
        <v>2939.8829687073503</v>
      </c>
      <c r="J73" s="9">
        <v>3726.126227822188</v>
      </c>
      <c r="K73" s="9">
        <v>850.52484051472038</v>
      </c>
      <c r="L73" s="20" t="s">
        <v>131</v>
      </c>
    </row>
    <row r="74" spans="1:12" s="51" customFormat="1" ht="20.100000000000001" customHeight="1" x14ac:dyDescent="0.25">
      <c r="A74" s="341"/>
      <c r="B74" s="322"/>
      <c r="C74" s="10">
        <f>C73/13.19*19.53*1.039*1.15</f>
        <v>10456.474590796764</v>
      </c>
      <c r="D74" s="10">
        <f t="shared" ref="D74:K74" si="36">D73/13.19*19.53*1.039</f>
        <v>11160.064132603364</v>
      </c>
      <c r="E74" s="10">
        <f t="shared" si="36"/>
        <v>1520.7849345188029</v>
      </c>
      <c r="F74" s="10">
        <f t="shared" si="36"/>
        <v>870.75224448081315</v>
      </c>
      <c r="G74" s="10">
        <f t="shared" si="36"/>
        <v>1996.9083129751159</v>
      </c>
      <c r="H74" s="10">
        <f t="shared" si="36"/>
        <v>667.5628888623221</v>
      </c>
      <c r="I74" s="10">
        <f t="shared" si="36"/>
        <v>4522.7547414427509</v>
      </c>
      <c r="J74" s="10">
        <f t="shared" si="36"/>
        <v>5732.3217432382598</v>
      </c>
      <c r="K74" s="10">
        <f t="shared" si="36"/>
        <v>1308.458634611625</v>
      </c>
      <c r="L74" s="26" t="s">
        <v>131</v>
      </c>
    </row>
    <row r="75" spans="1:12" s="51" customFormat="1" ht="20.100000000000001" customHeight="1" x14ac:dyDescent="0.25">
      <c r="A75" s="341"/>
      <c r="B75" s="322"/>
      <c r="C75" s="16">
        <f>C74*0.0214</f>
        <v>223.76855624305074</v>
      </c>
      <c r="D75" s="16">
        <f t="shared" ref="D75:K75" si="37">D74*0.0214</f>
        <v>238.82537243771196</v>
      </c>
      <c r="E75" s="16">
        <f t="shared" si="37"/>
        <v>32.544797598702381</v>
      </c>
      <c r="F75" s="16">
        <f t="shared" si="37"/>
        <v>18.634098031889401</v>
      </c>
      <c r="G75" s="16">
        <f t="shared" si="37"/>
        <v>42.733837897667478</v>
      </c>
      <c r="H75" s="16">
        <f t="shared" si="37"/>
        <v>14.285845821653693</v>
      </c>
      <c r="I75" s="16">
        <f t="shared" si="37"/>
        <v>96.786951466874868</v>
      </c>
      <c r="J75" s="16">
        <f t="shared" si="37"/>
        <v>122.67168530529875</v>
      </c>
      <c r="K75" s="16">
        <f t="shared" si="37"/>
        <v>28.001014780688774</v>
      </c>
      <c r="L75" s="15" t="s">
        <v>131</v>
      </c>
    </row>
    <row r="76" spans="1:12" s="51" customFormat="1" ht="20.100000000000001" hidden="1" customHeight="1" x14ac:dyDescent="0.25">
      <c r="A76" s="341"/>
      <c r="B76" s="322"/>
      <c r="C76" s="16">
        <f>7982/1025.8</f>
        <v>7.7812439071943853</v>
      </c>
      <c r="D76" s="16">
        <f>5926/342</f>
        <v>17.327485380116958</v>
      </c>
      <c r="E76" s="16">
        <f>2829/1025.8</f>
        <v>2.7578475336322872</v>
      </c>
      <c r="F76" s="16">
        <f>4596/2/1025.8</f>
        <v>2.2402027685708714</v>
      </c>
      <c r="G76" s="16">
        <f>4136/1025.8</f>
        <v>4.0319750438682007</v>
      </c>
      <c r="H76" s="16">
        <f>F76</f>
        <v>2.2402027685708714</v>
      </c>
      <c r="I76" s="16">
        <f>6894/1025.8</f>
        <v>6.7206083057126147</v>
      </c>
      <c r="J76" s="16">
        <f>1428/1025.8</f>
        <v>1.3920842269448237</v>
      </c>
      <c r="K76" s="16">
        <f>J76</f>
        <v>1.3920842269448237</v>
      </c>
      <c r="L76" s="15" t="s">
        <v>131</v>
      </c>
    </row>
    <row r="77" spans="1:12" s="51" customFormat="1" ht="20.100000000000001" hidden="1" customHeight="1" thickBot="1" x14ac:dyDescent="0.3">
      <c r="A77" s="341"/>
      <c r="B77" s="322"/>
      <c r="C77" s="27">
        <f>106.92*P4</f>
        <v>132.43083063157894</v>
      </c>
      <c r="D77" s="18">
        <f>93.54*P4</f>
        <v>115.85839784210526</v>
      </c>
      <c r="E77" s="18">
        <f>75.12*P4</f>
        <v>93.043434315789469</v>
      </c>
      <c r="F77" s="27">
        <f>55.28*P4</f>
        <v>68.469662526315787</v>
      </c>
      <c r="G77" s="18">
        <f>55.28*P4</f>
        <v>68.469662526315787</v>
      </c>
      <c r="H77" s="27">
        <f>55.28*P4</f>
        <v>68.469662526315787</v>
      </c>
      <c r="I77" s="28">
        <f>85.12*P4</f>
        <v>105.429408</v>
      </c>
      <c r="J77" s="28">
        <f>97.45*P4</f>
        <v>120.70131355263158</v>
      </c>
      <c r="K77" s="27">
        <f>32.7*P4</f>
        <v>40.502133947368421</v>
      </c>
      <c r="L77" s="29" t="s">
        <v>131</v>
      </c>
    </row>
    <row r="78" spans="1:12" s="51" customFormat="1" ht="20.100000000000001" customHeight="1" thickBot="1" x14ac:dyDescent="0.3">
      <c r="A78" s="341"/>
      <c r="B78" s="323"/>
      <c r="C78" s="18">
        <f>C77+C76</f>
        <v>140.21207453877332</v>
      </c>
      <c r="D78" s="18">
        <f t="shared" ref="D78:K78" si="38">D77+D76</f>
        <v>133.18588322222223</v>
      </c>
      <c r="E78" s="18">
        <f t="shared" si="38"/>
        <v>95.801281849421756</v>
      </c>
      <c r="F78" s="18">
        <f t="shared" si="38"/>
        <v>70.709865294886654</v>
      </c>
      <c r="G78" s="18">
        <f t="shared" si="38"/>
        <v>72.501637570183988</v>
      </c>
      <c r="H78" s="18">
        <f t="shared" si="38"/>
        <v>70.709865294886654</v>
      </c>
      <c r="I78" s="18">
        <f t="shared" si="38"/>
        <v>112.15001630571261</v>
      </c>
      <c r="J78" s="18">
        <f t="shared" si="38"/>
        <v>122.09339777957639</v>
      </c>
      <c r="K78" s="18">
        <f t="shared" si="38"/>
        <v>41.894218174313245</v>
      </c>
      <c r="L78" s="34" t="s">
        <v>131</v>
      </c>
    </row>
    <row r="79" spans="1:12" s="51" customFormat="1" ht="20.100000000000001" customHeight="1" thickBot="1" x14ac:dyDescent="0.3">
      <c r="A79" s="345"/>
      <c r="B79" s="265" t="s">
        <v>212</v>
      </c>
      <c r="C79" s="18">
        <f>SUM(C74:C77)</f>
        <v>10820.45522157859</v>
      </c>
      <c r="D79" s="18">
        <f t="shared" ref="D79:K79" si="39">SUM(D74:D77)</f>
        <v>11532.075388263298</v>
      </c>
      <c r="E79" s="18">
        <f t="shared" si="39"/>
        <v>1649.131013966927</v>
      </c>
      <c r="F79" s="18">
        <f t="shared" si="39"/>
        <v>960.09620780758917</v>
      </c>
      <c r="G79" s="18">
        <f t="shared" si="39"/>
        <v>2112.1437884429674</v>
      </c>
      <c r="H79" s="18">
        <f t="shared" si="39"/>
        <v>752.55859997886239</v>
      </c>
      <c r="I79" s="18">
        <f t="shared" si="39"/>
        <v>4731.6917092153381</v>
      </c>
      <c r="J79" s="18">
        <f t="shared" si="39"/>
        <v>5977.0868263231341</v>
      </c>
      <c r="K79" s="18">
        <f t="shared" si="39"/>
        <v>1378.3538675666273</v>
      </c>
      <c r="L79" s="41" t="s">
        <v>131</v>
      </c>
    </row>
    <row r="80" spans="1:12" s="52" customFormat="1" ht="20.100000000000001" hidden="1" customHeight="1" thickBot="1" x14ac:dyDescent="0.3">
      <c r="A80" s="327" t="s">
        <v>927</v>
      </c>
      <c r="B80" s="321" t="s">
        <v>51</v>
      </c>
      <c r="C80" s="9">
        <v>3911.8373720866252</v>
      </c>
      <c r="D80" s="9">
        <v>5615.4282529773755</v>
      </c>
      <c r="E80" s="9">
        <v>588.24109440136613</v>
      </c>
      <c r="F80" s="9">
        <v>352.75508202458764</v>
      </c>
      <c r="G80" s="9">
        <v>863.9887704805717</v>
      </c>
      <c r="H80" s="9">
        <v>488.71023079652036</v>
      </c>
      <c r="I80" s="9">
        <v>1305.0390311245965</v>
      </c>
      <c r="J80" s="9">
        <v>1870.539434770157</v>
      </c>
      <c r="K80" s="9">
        <v>445.3332594919367</v>
      </c>
      <c r="L80" s="20" t="s">
        <v>131</v>
      </c>
    </row>
    <row r="81" spans="1:15" s="52" customFormat="1" ht="20.100000000000001" customHeight="1" x14ac:dyDescent="0.25">
      <c r="A81" s="327"/>
      <c r="B81" s="322"/>
      <c r="C81" s="10">
        <f>C80/13.19*19.53*1.039*1.15</f>
        <v>6920.7255500573428</v>
      </c>
      <c r="D81" s="10">
        <f t="shared" ref="D81:K81" si="40">D80/13.19*19.53*1.039</f>
        <v>8638.8489020540892</v>
      </c>
      <c r="E81" s="10">
        <f t="shared" si="40"/>
        <v>904.95785959297712</v>
      </c>
      <c r="F81" s="10">
        <f t="shared" si="40"/>
        <v>542.68307166534225</v>
      </c>
      <c r="G81" s="10">
        <f t="shared" si="40"/>
        <v>1329.1717220847236</v>
      </c>
      <c r="H81" s="10">
        <f t="shared" si="40"/>
        <v>751.83826603084378</v>
      </c>
      <c r="I81" s="10">
        <f t="shared" si="40"/>
        <v>2007.6892613116029</v>
      </c>
      <c r="J81" s="10">
        <f t="shared" si="40"/>
        <v>2877.6625422549319</v>
      </c>
      <c r="K81" s="10">
        <f t="shared" si="40"/>
        <v>685.10656115502252</v>
      </c>
      <c r="L81" s="26" t="s">
        <v>131</v>
      </c>
    </row>
    <row r="82" spans="1:15" s="51" customFormat="1" ht="20.100000000000001" customHeight="1" x14ac:dyDescent="0.25">
      <c r="A82" s="327"/>
      <c r="B82" s="322"/>
      <c r="C82" s="16">
        <f>C81*0.0214</f>
        <v>148.10352677122714</v>
      </c>
      <c r="D82" s="16">
        <f t="shared" ref="D82:K82" si="41">D81*0.0214</f>
        <v>184.87136650395749</v>
      </c>
      <c r="E82" s="16">
        <f t="shared" si="41"/>
        <v>19.366098195289709</v>
      </c>
      <c r="F82" s="16">
        <f t="shared" si="41"/>
        <v>11.613417733638324</v>
      </c>
      <c r="G82" s="16">
        <f t="shared" si="41"/>
        <v>28.444274852613084</v>
      </c>
      <c r="H82" s="16">
        <f t="shared" si="41"/>
        <v>16.089338893060056</v>
      </c>
      <c r="I82" s="16">
        <f t="shared" si="41"/>
        <v>42.964550192068302</v>
      </c>
      <c r="J82" s="16">
        <f t="shared" si="41"/>
        <v>61.581978404255537</v>
      </c>
      <c r="K82" s="16">
        <f t="shared" si="41"/>
        <v>14.661280408717481</v>
      </c>
      <c r="L82" s="15" t="s">
        <v>131</v>
      </c>
    </row>
    <row r="83" spans="1:15" s="51" customFormat="1" ht="20.100000000000001" hidden="1" customHeight="1" x14ac:dyDescent="0.25">
      <c r="A83" s="327"/>
      <c r="B83" s="322"/>
      <c r="C83" s="16">
        <f>14067/2043.4</f>
        <v>6.8841147107761573</v>
      </c>
      <c r="D83" s="16">
        <f>10444/511</f>
        <v>20.438356164383563</v>
      </c>
      <c r="E83" s="16">
        <f>5634/2043.4</f>
        <v>2.7571694235098363</v>
      </c>
      <c r="F83" s="16">
        <f>12821/2/2043.4</f>
        <v>3.1371733385533913</v>
      </c>
      <c r="G83" s="16">
        <f>9158/2043.4</f>
        <v>4.4817461094254671</v>
      </c>
      <c r="H83" s="16">
        <f>F83</f>
        <v>3.1371733385533913</v>
      </c>
      <c r="I83" s="16">
        <f>22894/2043.4</f>
        <v>11.20387589311931</v>
      </c>
      <c r="J83" s="16">
        <f>2516/2043.4</f>
        <v>1.2312811980033278</v>
      </c>
      <c r="K83" s="16">
        <f>J83</f>
        <v>1.2312811980033278</v>
      </c>
      <c r="L83" s="15" t="s">
        <v>131</v>
      </c>
    </row>
    <row r="84" spans="1:15" s="53" customFormat="1" ht="20.100000000000001" hidden="1" customHeight="1" thickBot="1" x14ac:dyDescent="0.3">
      <c r="A84" s="327"/>
      <c r="B84" s="322"/>
      <c r="C84" s="27">
        <f>(1/2043.4)*199156.02*1.2*P4</f>
        <v>144.86098988580434</v>
      </c>
      <c r="D84" s="27">
        <f>(1/2043.4)*169282.26*1.2*P4</f>
        <v>123.13158173027409</v>
      </c>
      <c r="E84" s="27">
        <f>(1/2043.4)*132770.34*1.2*P4</f>
        <v>96.573745949908044</v>
      </c>
      <c r="F84" s="27">
        <f>(1/2043.4)*99577.5*1.2*P4</f>
        <v>72.430123981959881</v>
      </c>
      <c r="G84" s="18">
        <f>(1/2043.4)*99577.5*1.2*P4</f>
        <v>72.430123981959881</v>
      </c>
      <c r="H84" s="27">
        <f>(1/2043.4)*99577.5*1.2*P4</f>
        <v>72.430123981959881</v>
      </c>
      <c r="I84" s="28">
        <f>(1/2043.4)*131110.8*1.2*P4</f>
        <v>95.366639043699081</v>
      </c>
      <c r="J84" s="28">
        <f>(1/2043.4)*162644.1*1.2*P4</f>
        <v>118.3031541054383</v>
      </c>
      <c r="K84" s="27">
        <f>(1/2043.4)*69704.76*1.2*P4</f>
        <v>50.701457748314205</v>
      </c>
      <c r="L84" s="34" t="s">
        <v>131</v>
      </c>
    </row>
    <row r="85" spans="1:15" s="53" customFormat="1" ht="20.100000000000001" customHeight="1" thickBot="1" x14ac:dyDescent="0.3">
      <c r="A85" s="327"/>
      <c r="B85" s="323"/>
      <c r="C85" s="18">
        <f>C84+C83</f>
        <v>151.74510459658049</v>
      </c>
      <c r="D85" s="18">
        <f t="shared" ref="D85:K85" si="42">D84+D83</f>
        <v>143.56993789465764</v>
      </c>
      <c r="E85" s="18">
        <f t="shared" si="42"/>
        <v>99.330915373417881</v>
      </c>
      <c r="F85" s="18">
        <f t="shared" si="42"/>
        <v>75.567297320513276</v>
      </c>
      <c r="G85" s="18">
        <f t="shared" si="42"/>
        <v>76.911870091385353</v>
      </c>
      <c r="H85" s="18">
        <f t="shared" si="42"/>
        <v>75.567297320513276</v>
      </c>
      <c r="I85" s="18">
        <f t="shared" si="42"/>
        <v>106.5705149368184</v>
      </c>
      <c r="J85" s="18">
        <f t="shared" si="42"/>
        <v>119.53443530344163</v>
      </c>
      <c r="K85" s="18">
        <f t="shared" si="42"/>
        <v>51.932738946317535</v>
      </c>
      <c r="L85" s="34" t="s">
        <v>131</v>
      </c>
    </row>
    <row r="86" spans="1:15" s="53" customFormat="1" ht="20.100000000000001" customHeight="1" thickBot="1" x14ac:dyDescent="0.3">
      <c r="A86" s="328"/>
      <c r="B86" s="265" t="s">
        <v>212</v>
      </c>
      <c r="C86" s="18">
        <f>SUM(C81:C84)</f>
        <v>7220.5741814251496</v>
      </c>
      <c r="D86" s="18">
        <f t="shared" ref="D86:K86" si="43">SUM(D81:D84)</f>
        <v>8967.2902064527061</v>
      </c>
      <c r="E86" s="18">
        <f t="shared" si="43"/>
        <v>1023.6548731616847</v>
      </c>
      <c r="F86" s="18">
        <f t="shared" si="43"/>
        <v>629.86378671949387</v>
      </c>
      <c r="G86" s="18">
        <f t="shared" si="43"/>
        <v>1434.5278670287221</v>
      </c>
      <c r="H86" s="18">
        <f t="shared" si="43"/>
        <v>843.49490224441706</v>
      </c>
      <c r="I86" s="18">
        <f t="shared" si="43"/>
        <v>2157.2243264404897</v>
      </c>
      <c r="J86" s="18">
        <f t="shared" si="43"/>
        <v>3058.778955962629</v>
      </c>
      <c r="K86" s="18">
        <f t="shared" si="43"/>
        <v>751.70058051005753</v>
      </c>
      <c r="L86" s="34" t="s">
        <v>131</v>
      </c>
    </row>
    <row r="87" spans="1:15" s="53" customFormat="1" ht="20.100000000000001" hidden="1" customHeight="1" thickBot="1" x14ac:dyDescent="0.3">
      <c r="A87" s="327" t="s">
        <v>928</v>
      </c>
      <c r="B87" s="321" t="s">
        <v>49</v>
      </c>
      <c r="C87" s="9">
        <v>3215.1532556818183</v>
      </c>
      <c r="D87" s="9">
        <v>6654.0954776470589</v>
      </c>
      <c r="E87" s="9">
        <v>447.24328409090907</v>
      </c>
      <c r="F87" s="9">
        <v>309.14947159090912</v>
      </c>
      <c r="G87" s="9">
        <v>887.22702409090903</v>
      </c>
      <c r="H87" s="9">
        <v>381.3231418181818</v>
      </c>
      <c r="I87" s="9">
        <v>1205.4649195272725</v>
      </c>
      <c r="J87" s="9">
        <v>1676.8085353409092</v>
      </c>
      <c r="K87" s="9">
        <v>434.79424465909091</v>
      </c>
      <c r="L87" s="20" t="s">
        <v>131</v>
      </c>
    </row>
    <row r="88" spans="1:15" s="53" customFormat="1" ht="20.100000000000001" customHeight="1" x14ac:dyDescent="0.25">
      <c r="A88" s="341"/>
      <c r="B88" s="322"/>
      <c r="C88" s="10">
        <f>C87/13.19*19.53*1.039*1.15</f>
        <v>5688.169309573861</v>
      </c>
      <c r="D88" s="10">
        <f t="shared" ref="D88:K88" si="44">D87/13.19*19.53*1.039</f>
        <v>10236.748262388666</v>
      </c>
      <c r="E88" s="10">
        <f t="shared" si="44"/>
        <v>688.04496819476685</v>
      </c>
      <c r="F88" s="10">
        <f t="shared" si="44"/>
        <v>475.59962533715714</v>
      </c>
      <c r="G88" s="10">
        <f t="shared" si="44"/>
        <v>1364.9217579935389</v>
      </c>
      <c r="H88" s="10">
        <f t="shared" si="44"/>
        <v>586.63255171628089</v>
      </c>
      <c r="I88" s="10">
        <f t="shared" si="44"/>
        <v>1854.5031344673216</v>
      </c>
      <c r="J88" s="10">
        <f t="shared" si="44"/>
        <v>2579.6243709113774</v>
      </c>
      <c r="K88" s="10">
        <f t="shared" si="44"/>
        <v>668.89320170747055</v>
      </c>
      <c r="L88" s="26" t="s">
        <v>131</v>
      </c>
    </row>
    <row r="89" spans="1:15" s="51" customFormat="1" ht="20.100000000000001" customHeight="1" x14ac:dyDescent="0.25">
      <c r="A89" s="341"/>
      <c r="B89" s="322"/>
      <c r="C89" s="16">
        <f>C88*0.0214</f>
        <v>121.72682322488062</v>
      </c>
      <c r="D89" s="16">
        <f t="shared" ref="D89:K89" si="45">D88*0.0214</f>
        <v>219.06641281511745</v>
      </c>
      <c r="E89" s="16">
        <f t="shared" si="45"/>
        <v>14.724162319368009</v>
      </c>
      <c r="F89" s="16">
        <f t="shared" si="45"/>
        <v>10.177831982215162</v>
      </c>
      <c r="G89" s="16">
        <f t="shared" si="45"/>
        <v>29.20932562106173</v>
      </c>
      <c r="H89" s="16">
        <f t="shared" si="45"/>
        <v>12.55393660672841</v>
      </c>
      <c r="I89" s="16">
        <f t="shared" si="45"/>
        <v>39.686367077600678</v>
      </c>
      <c r="J89" s="16">
        <f t="shared" si="45"/>
        <v>55.203961537503474</v>
      </c>
      <c r="K89" s="16">
        <f t="shared" si="45"/>
        <v>14.31431451653987</v>
      </c>
      <c r="L89" s="15" t="s">
        <v>131</v>
      </c>
    </row>
    <row r="90" spans="1:15" s="51" customFormat="1" ht="20.100000000000001" hidden="1" customHeight="1" x14ac:dyDescent="0.25">
      <c r="A90" s="341"/>
      <c r="B90" s="322"/>
      <c r="C90" s="16">
        <f>18173/2640</f>
        <v>6.8837121212121213</v>
      </c>
      <c r="D90" s="16">
        <f>13492/660</f>
        <v>20.442424242424241</v>
      </c>
      <c r="E90" s="16">
        <f>7280/2640</f>
        <v>2.7575757575757578</v>
      </c>
      <c r="F90" s="16">
        <f>28392/2/2640</f>
        <v>5.377272727272727</v>
      </c>
      <c r="G90" s="16">
        <f>26026/2640</f>
        <v>9.8583333333333325</v>
      </c>
      <c r="H90" s="16">
        <f>F90</f>
        <v>5.377272727272727</v>
      </c>
      <c r="I90" s="16">
        <f>39039/2640</f>
        <v>14.7875</v>
      </c>
      <c r="J90" s="16">
        <f>3250/2640</f>
        <v>1.231060606060606</v>
      </c>
      <c r="K90" s="16">
        <f>J90</f>
        <v>1.231060606060606</v>
      </c>
      <c r="L90" s="15" t="s">
        <v>131</v>
      </c>
    </row>
    <row r="91" spans="1:15" s="53" customFormat="1" ht="20.100000000000001" hidden="1" customHeight="1" thickBot="1" x14ac:dyDescent="0.3">
      <c r="A91" s="341"/>
      <c r="B91" s="322"/>
      <c r="C91" s="18">
        <f>(1/2640)*208815.42*1.2*P4</f>
        <v>117.56283168078946</v>
      </c>
      <c r="D91" s="27">
        <f>(1/2640)*73086.06*1.2*P4</f>
        <v>41.147364356483244</v>
      </c>
      <c r="E91" s="18">
        <f>(1/2640)*139210.62*1.2*P4</f>
        <v>78.375412540119612</v>
      </c>
      <c r="F91" s="18">
        <f>47.46*P4</f>
        <v>58.783831105263154</v>
      </c>
      <c r="G91" s="18">
        <f>(1/2640)*104408.22*1.2*P4</f>
        <v>58.781702969784682</v>
      </c>
      <c r="H91" s="27">
        <f>(1/2640)*104408.22*1.2*P4</f>
        <v>58.781702969784682</v>
      </c>
      <c r="I91" s="19">
        <f>(1/2640)*137470.5*1.2*P4</f>
        <v>77.395727061602855</v>
      </c>
      <c r="J91" s="19">
        <f>(1/2640)*170532.78*1.2*P4</f>
        <v>96.009751153421035</v>
      </c>
      <c r="K91" s="18">
        <f>(1/2640)*73086.06*1.2*P4</f>
        <v>41.147364356483244</v>
      </c>
      <c r="L91" s="34" t="s">
        <v>131</v>
      </c>
    </row>
    <row r="92" spans="1:15" s="53" customFormat="1" ht="20.100000000000001" customHeight="1" thickBot="1" x14ac:dyDescent="0.3">
      <c r="A92" s="341"/>
      <c r="B92" s="323"/>
      <c r="C92" s="18">
        <f>C91+C90</f>
        <v>124.44654380200159</v>
      </c>
      <c r="D92" s="18">
        <f t="shared" ref="D92:K92" si="46">D91+D90</f>
        <v>61.589788598907489</v>
      </c>
      <c r="E92" s="18">
        <f t="shared" si="46"/>
        <v>81.132988297695363</v>
      </c>
      <c r="F92" s="18">
        <f t="shared" si="46"/>
        <v>64.161103832535886</v>
      </c>
      <c r="G92" s="18">
        <f t="shared" si="46"/>
        <v>68.640036303118009</v>
      </c>
      <c r="H92" s="18">
        <f t="shared" si="46"/>
        <v>64.158975697057414</v>
      </c>
      <c r="I92" s="18">
        <f t="shared" si="46"/>
        <v>92.18322706160285</v>
      </c>
      <c r="J92" s="18">
        <f t="shared" si="46"/>
        <v>97.240811759481645</v>
      </c>
      <c r="K92" s="18">
        <f t="shared" si="46"/>
        <v>42.378424962543853</v>
      </c>
      <c r="L92" s="34" t="s">
        <v>131</v>
      </c>
    </row>
    <row r="93" spans="1:15" s="53" customFormat="1" ht="20.100000000000001" customHeight="1" thickBot="1" x14ac:dyDescent="0.3">
      <c r="A93" s="345"/>
      <c r="B93" s="265" t="s">
        <v>212</v>
      </c>
      <c r="C93" s="36">
        <f>SUM(C88:C91)</f>
        <v>5934.3426766007433</v>
      </c>
      <c r="D93" s="36">
        <f t="shared" ref="D93:K93" si="47">SUM(D88:D91)</f>
        <v>10517.404463802692</v>
      </c>
      <c r="E93" s="36">
        <f t="shared" si="47"/>
        <v>783.90211881183018</v>
      </c>
      <c r="F93" s="36">
        <f t="shared" si="47"/>
        <v>549.93856115190817</v>
      </c>
      <c r="G93" s="36">
        <f t="shared" si="47"/>
        <v>1462.7711199177186</v>
      </c>
      <c r="H93" s="36">
        <f t="shared" si="47"/>
        <v>663.34546402006663</v>
      </c>
      <c r="I93" s="36">
        <f t="shared" si="47"/>
        <v>1986.372728606525</v>
      </c>
      <c r="J93" s="36">
        <f t="shared" si="47"/>
        <v>2732.0691442083621</v>
      </c>
      <c r="K93" s="36">
        <f t="shared" si="47"/>
        <v>725.58594118655424</v>
      </c>
      <c r="L93" s="37" t="s">
        <v>131</v>
      </c>
    </row>
    <row r="94" spans="1:15" s="53" customFormat="1" ht="20.100000000000001" hidden="1" customHeight="1" thickBot="1" x14ac:dyDescent="0.3">
      <c r="A94" s="327" t="s">
        <v>929</v>
      </c>
      <c r="B94" s="321" t="s">
        <v>50</v>
      </c>
      <c r="C94" s="9">
        <v>3964.7132599139436</v>
      </c>
      <c r="D94" s="9">
        <v>4340.7146035555561</v>
      </c>
      <c r="E94" s="9">
        <v>486.47337948598675</v>
      </c>
      <c r="F94" s="9">
        <v>332.21468687056631</v>
      </c>
      <c r="G94" s="9">
        <v>586.0316682172346</v>
      </c>
      <c r="H94" s="9">
        <v>353.16210505872778</v>
      </c>
      <c r="I94" s="9">
        <v>1915.9866166763577</v>
      </c>
      <c r="J94" s="9">
        <v>1460.1994638678916</v>
      </c>
      <c r="K94" s="9">
        <v>338.73094266775206</v>
      </c>
      <c r="L94" s="20" t="s">
        <v>131</v>
      </c>
    </row>
    <row r="95" spans="1:15" s="53" customFormat="1" ht="20.100000000000001" customHeight="1" x14ac:dyDescent="0.25">
      <c r="A95" s="327"/>
      <c r="B95" s="322"/>
      <c r="C95" s="10">
        <f>C94/13.19*19.53*1.039*1.15</f>
        <v>7014.2722579240071</v>
      </c>
      <c r="D95" s="10">
        <f t="shared" ref="D95:K95" si="48">D94/13.19*19.53*1.039</f>
        <v>6677.8126080007714</v>
      </c>
      <c r="E95" s="10">
        <f t="shared" si="48"/>
        <v>748.39706446659693</v>
      </c>
      <c r="F95" s="10">
        <f t="shared" si="48"/>
        <v>511.08345679536501</v>
      </c>
      <c r="G95" s="10">
        <f t="shared" si="48"/>
        <v>901.55884920497454</v>
      </c>
      <c r="H95" s="10">
        <f t="shared" si="48"/>
        <v>543.30924127043477</v>
      </c>
      <c r="I95" s="10">
        <f t="shared" si="48"/>
        <v>2947.5790864301093</v>
      </c>
      <c r="J95" s="10">
        <f t="shared" si="48"/>
        <v>2246.3901178911433</v>
      </c>
      <c r="K95" s="10">
        <f t="shared" si="48"/>
        <v>521.10815067497686</v>
      </c>
      <c r="L95" s="26" t="s">
        <v>131</v>
      </c>
    </row>
    <row r="96" spans="1:15" s="51" customFormat="1" ht="20.100000000000001" customHeight="1" x14ac:dyDescent="0.25">
      <c r="A96" s="327"/>
      <c r="B96" s="322"/>
      <c r="C96" s="16">
        <f>C95*0.0214</f>
        <v>150.10542631957375</v>
      </c>
      <c r="D96" s="16">
        <f t="shared" ref="D96:K96" si="49">D95*0.0214</f>
        <v>142.9051898112165</v>
      </c>
      <c r="E96" s="16">
        <f t="shared" si="49"/>
        <v>16.015697179585175</v>
      </c>
      <c r="F96" s="16">
        <f t="shared" si="49"/>
        <v>10.93718597542081</v>
      </c>
      <c r="G96" s="16">
        <f t="shared" si="49"/>
        <v>19.293359372986455</v>
      </c>
      <c r="H96" s="16">
        <f t="shared" si="49"/>
        <v>11.626817763187303</v>
      </c>
      <c r="I96" s="16">
        <f t="shared" si="49"/>
        <v>63.078192449604337</v>
      </c>
      <c r="J96" s="16">
        <f t="shared" si="49"/>
        <v>48.072748522870462</v>
      </c>
      <c r="K96" s="16">
        <f t="shared" si="49"/>
        <v>11.151714424444505</v>
      </c>
      <c r="L96" s="15" t="s">
        <v>131</v>
      </c>
      <c r="O96" s="54"/>
    </row>
    <row r="97" spans="1:15" s="51" customFormat="1" ht="20.100000000000001" hidden="1" customHeight="1" x14ac:dyDescent="0.25">
      <c r="A97" s="327"/>
      <c r="B97" s="322"/>
      <c r="C97" s="16">
        <f>26343/4299.5</f>
        <v>6.1269915106407717</v>
      </c>
      <c r="D97" s="16">
        <f>19558/860</f>
        <v>22.741860465116279</v>
      </c>
      <c r="E97" s="16">
        <f>11858/4299.5</f>
        <v>2.7579951157111293</v>
      </c>
      <c r="F97" s="16">
        <f>59726/2/4299.5</f>
        <v>6.9456913594604019</v>
      </c>
      <c r="G97" s="16">
        <f>53946/4299.5</f>
        <v>12.54704035352948</v>
      </c>
      <c r="H97" s="16">
        <f>F97</f>
        <v>6.9456913594604019</v>
      </c>
      <c r="I97" s="16">
        <f>63679/4299.5</f>
        <v>14.810791952552622</v>
      </c>
      <c r="J97" s="16">
        <f>4711/4299.5</f>
        <v>1.0957088033492266</v>
      </c>
      <c r="K97" s="16">
        <f>J97</f>
        <v>1.0957088033492266</v>
      </c>
      <c r="L97" s="15" t="s">
        <v>131</v>
      </c>
    </row>
    <row r="98" spans="1:15" s="53" customFormat="1" ht="20.100000000000001" hidden="1" customHeight="1" thickBot="1" x14ac:dyDescent="0.3">
      <c r="A98" s="327"/>
      <c r="B98" s="322"/>
      <c r="C98" s="18">
        <f>(1/4299.5)*297962.4*1.2*P4</f>
        <v>103.00419430959533</v>
      </c>
      <c r="D98" s="18">
        <f>(1/4299.5)*104286.84*1.2*P4</f>
        <v>36.05146800835837</v>
      </c>
      <c r="E98" s="18">
        <f>(1/4299.5)*198641.94*1.2*P4</f>
        <v>68.669580409457637</v>
      </c>
      <c r="F98" s="18">
        <f>(1/4299.5)*148981.2*1.2*P4</f>
        <v>51.502097154797667</v>
      </c>
      <c r="G98" s="18">
        <f>(1/4299.5)*148981.2*1.2*P4</f>
        <v>51.502097154797667</v>
      </c>
      <c r="H98" s="18">
        <f>(1/4299.5)*148981.2*1.2*P4</f>
        <v>51.502097154797667</v>
      </c>
      <c r="I98" s="19">
        <f>(1/4299.5)*196158.24*1.2*P4</f>
        <v>67.810977050756193</v>
      </c>
      <c r="J98" s="19">
        <f>(1/4299.5)*243336.3*1.2*P4</f>
        <v>84.120209555896935</v>
      </c>
      <c r="K98" s="18">
        <f>(1/4299.5)*104286.84*1.2*P4</f>
        <v>36.05146800835837</v>
      </c>
      <c r="L98" s="34" t="s">
        <v>131</v>
      </c>
    </row>
    <row r="99" spans="1:15" s="53" customFormat="1" ht="20.100000000000001" customHeight="1" thickBot="1" x14ac:dyDescent="0.3">
      <c r="A99" s="327"/>
      <c r="B99" s="323"/>
      <c r="C99" s="18">
        <f>C98+C97</f>
        <v>109.13118582023611</v>
      </c>
      <c r="D99" s="18">
        <f t="shared" ref="D99:K99" si="50">D98+D97</f>
        <v>58.793328473474645</v>
      </c>
      <c r="E99" s="18">
        <f t="shared" si="50"/>
        <v>71.427575525168763</v>
      </c>
      <c r="F99" s="18">
        <f t="shared" si="50"/>
        <v>58.447788514258072</v>
      </c>
      <c r="G99" s="18">
        <f t="shared" si="50"/>
        <v>64.049137508327149</v>
      </c>
      <c r="H99" s="18">
        <f t="shared" si="50"/>
        <v>58.447788514258072</v>
      </c>
      <c r="I99" s="18">
        <f t="shared" si="50"/>
        <v>82.621769003308813</v>
      </c>
      <c r="J99" s="18">
        <f t="shared" si="50"/>
        <v>85.21591835924616</v>
      </c>
      <c r="K99" s="18">
        <f t="shared" si="50"/>
        <v>37.147176811707595</v>
      </c>
      <c r="L99" s="34" t="s">
        <v>131</v>
      </c>
    </row>
    <row r="100" spans="1:15" s="53" customFormat="1" ht="20.100000000000001" customHeight="1" thickBot="1" x14ac:dyDescent="0.3">
      <c r="A100" s="328"/>
      <c r="B100" s="265" t="s">
        <v>212</v>
      </c>
      <c r="C100" s="36">
        <f>SUM(C95:C98)</f>
        <v>7273.5088700638171</v>
      </c>
      <c r="D100" s="36">
        <f t="shared" ref="D100:K100" si="51">SUM(D95:D98)</f>
        <v>6879.5111262854625</v>
      </c>
      <c r="E100" s="36">
        <f t="shared" si="51"/>
        <v>835.84033717135094</v>
      </c>
      <c r="F100" s="36">
        <f t="shared" si="51"/>
        <v>580.46843128504383</v>
      </c>
      <c r="G100" s="36">
        <f t="shared" si="51"/>
        <v>984.90134608628807</v>
      </c>
      <c r="H100" s="36">
        <f t="shared" si="51"/>
        <v>613.38384754788012</v>
      </c>
      <c r="I100" s="36">
        <f t="shared" si="51"/>
        <v>3093.2790478830229</v>
      </c>
      <c r="J100" s="36">
        <f t="shared" si="51"/>
        <v>2379.6787847732598</v>
      </c>
      <c r="K100" s="36">
        <f t="shared" si="51"/>
        <v>569.407041911129</v>
      </c>
      <c r="L100" s="37" t="s">
        <v>131</v>
      </c>
    </row>
    <row r="101" spans="1:15" s="53" customFormat="1" ht="20.100000000000001" hidden="1" customHeight="1" thickBot="1" x14ac:dyDescent="0.3">
      <c r="A101" s="171"/>
      <c r="B101" s="321" t="s">
        <v>227</v>
      </c>
      <c r="C101" s="9">
        <v>3964.7132599139436</v>
      </c>
      <c r="D101" s="9">
        <v>4340.7146035555561</v>
      </c>
      <c r="E101" s="9">
        <v>486.47337948598675</v>
      </c>
      <c r="F101" s="9">
        <v>332.21468687056631</v>
      </c>
      <c r="G101" s="9">
        <v>586.0316682172346</v>
      </c>
      <c r="H101" s="9">
        <v>353.16210505872778</v>
      </c>
      <c r="I101" s="9">
        <v>1915.9866166763577</v>
      </c>
      <c r="J101" s="9">
        <v>1460.1994638678916</v>
      </c>
      <c r="K101" s="9">
        <v>338.73094266775206</v>
      </c>
      <c r="L101" s="20" t="s">
        <v>131</v>
      </c>
    </row>
    <row r="102" spans="1:15" s="53" customFormat="1" ht="20.100000000000001" customHeight="1" x14ac:dyDescent="0.25">
      <c r="A102" s="340" t="s">
        <v>930</v>
      </c>
      <c r="B102" s="322"/>
      <c r="C102" s="10">
        <f>C101/13.19*19.53*1.039*1.15</f>
        <v>7014.2722579240071</v>
      </c>
      <c r="D102" s="10">
        <f t="shared" ref="D102:K102" si="52">D101/13.19*19.53*1.039</f>
        <v>6677.8126080007714</v>
      </c>
      <c r="E102" s="10">
        <f t="shared" si="52"/>
        <v>748.39706446659693</v>
      </c>
      <c r="F102" s="10">
        <f t="shared" si="52"/>
        <v>511.08345679536501</v>
      </c>
      <c r="G102" s="10">
        <f t="shared" si="52"/>
        <v>901.55884920497454</v>
      </c>
      <c r="H102" s="10">
        <f t="shared" si="52"/>
        <v>543.30924127043477</v>
      </c>
      <c r="I102" s="10">
        <f t="shared" si="52"/>
        <v>2947.5790864301093</v>
      </c>
      <c r="J102" s="10">
        <f t="shared" si="52"/>
        <v>2246.3901178911433</v>
      </c>
      <c r="K102" s="10">
        <f t="shared" si="52"/>
        <v>521.10815067497686</v>
      </c>
      <c r="L102" s="26" t="s">
        <v>131</v>
      </c>
    </row>
    <row r="103" spans="1:15" s="53" customFormat="1" ht="20.100000000000001" customHeight="1" x14ac:dyDescent="0.25">
      <c r="A103" s="327"/>
      <c r="B103" s="322"/>
      <c r="C103" s="16">
        <f>C102*0.0214</f>
        <v>150.10542631957375</v>
      </c>
      <c r="D103" s="16">
        <f t="shared" ref="D103:K103" si="53">D102*0.0214</f>
        <v>142.9051898112165</v>
      </c>
      <c r="E103" s="16">
        <f t="shared" si="53"/>
        <v>16.015697179585175</v>
      </c>
      <c r="F103" s="16">
        <f t="shared" si="53"/>
        <v>10.93718597542081</v>
      </c>
      <c r="G103" s="16">
        <f t="shared" si="53"/>
        <v>19.293359372986455</v>
      </c>
      <c r="H103" s="16">
        <f t="shared" si="53"/>
        <v>11.626817763187303</v>
      </c>
      <c r="I103" s="16">
        <f t="shared" si="53"/>
        <v>63.078192449604337</v>
      </c>
      <c r="J103" s="16">
        <f t="shared" si="53"/>
        <v>48.072748522870462</v>
      </c>
      <c r="K103" s="16">
        <f t="shared" si="53"/>
        <v>11.151714424444505</v>
      </c>
      <c r="L103" s="15" t="s">
        <v>131</v>
      </c>
    </row>
    <row r="104" spans="1:15" s="53" customFormat="1" ht="20.100000000000001" hidden="1" customHeight="1" x14ac:dyDescent="0.25">
      <c r="A104" s="327"/>
      <c r="B104" s="322"/>
      <c r="C104" s="16">
        <f>26343/4299.5</f>
        <v>6.1269915106407717</v>
      </c>
      <c r="D104" s="16">
        <f>19558/860</f>
        <v>22.741860465116279</v>
      </c>
      <c r="E104" s="16">
        <f>11858/4299.5</f>
        <v>2.7579951157111293</v>
      </c>
      <c r="F104" s="16">
        <f>59726/2/4299.5</f>
        <v>6.9456913594604019</v>
      </c>
      <c r="G104" s="16">
        <f>53946/4299.5</f>
        <v>12.54704035352948</v>
      </c>
      <c r="H104" s="16">
        <f>F104</f>
        <v>6.9456913594604019</v>
      </c>
      <c r="I104" s="16">
        <f>63679/4299.5</f>
        <v>14.810791952552622</v>
      </c>
      <c r="J104" s="16">
        <f>4711/4299.5</f>
        <v>1.0957088033492266</v>
      </c>
      <c r="K104" s="16">
        <f>J104</f>
        <v>1.0957088033492266</v>
      </c>
      <c r="L104" s="15" t="s">
        <v>131</v>
      </c>
    </row>
    <row r="105" spans="1:15" s="53" customFormat="1" ht="20.100000000000001" hidden="1" customHeight="1" thickBot="1" x14ac:dyDescent="0.3">
      <c r="A105" s="327"/>
      <c r="B105" s="322"/>
      <c r="C105" s="18">
        <v>103.00419430959533</v>
      </c>
      <c r="D105" s="18">
        <v>36.05146800835837</v>
      </c>
      <c r="E105" s="18">
        <v>68.669580409457637</v>
      </c>
      <c r="F105" s="18">
        <v>51.502097154797667</v>
      </c>
      <c r="G105" s="18">
        <v>51.502097154797667</v>
      </c>
      <c r="H105" s="18">
        <v>51.502097154797667</v>
      </c>
      <c r="I105" s="19">
        <v>67.810977050756193</v>
      </c>
      <c r="J105" s="19">
        <v>84.120209555896935</v>
      </c>
      <c r="K105" s="18">
        <v>36.05146800835837</v>
      </c>
      <c r="L105" s="34" t="s">
        <v>131</v>
      </c>
    </row>
    <row r="106" spans="1:15" s="53" customFormat="1" ht="20.100000000000001" customHeight="1" thickBot="1" x14ac:dyDescent="0.3">
      <c r="A106" s="327"/>
      <c r="B106" s="323"/>
      <c r="C106" s="18">
        <f>C105+C104</f>
        <v>109.13118582023611</v>
      </c>
      <c r="D106" s="18">
        <f t="shared" ref="D106:K106" si="54">D105+D104</f>
        <v>58.793328473474645</v>
      </c>
      <c r="E106" s="18">
        <f t="shared" si="54"/>
        <v>71.427575525168763</v>
      </c>
      <c r="F106" s="18">
        <f t="shared" si="54"/>
        <v>58.447788514258072</v>
      </c>
      <c r="G106" s="18">
        <f t="shared" si="54"/>
        <v>64.049137508327149</v>
      </c>
      <c r="H106" s="18">
        <f t="shared" si="54"/>
        <v>58.447788514258072</v>
      </c>
      <c r="I106" s="18">
        <f t="shared" si="54"/>
        <v>82.621769003308813</v>
      </c>
      <c r="J106" s="18">
        <f t="shared" si="54"/>
        <v>85.21591835924616</v>
      </c>
      <c r="K106" s="18">
        <f t="shared" si="54"/>
        <v>37.147176811707595</v>
      </c>
      <c r="L106" s="34" t="s">
        <v>131</v>
      </c>
    </row>
    <row r="107" spans="1:15" s="53" customFormat="1" ht="20.100000000000001" customHeight="1" thickBot="1" x14ac:dyDescent="0.3">
      <c r="A107" s="328"/>
      <c r="B107" s="265" t="s">
        <v>212</v>
      </c>
      <c r="C107" s="36">
        <f>SUM(C102:C105)</f>
        <v>7273.5088700638171</v>
      </c>
      <c r="D107" s="36">
        <f t="shared" ref="D107:K107" si="55">SUM(D102:D105)</f>
        <v>6879.5111262854625</v>
      </c>
      <c r="E107" s="36">
        <f t="shared" si="55"/>
        <v>835.84033717135094</v>
      </c>
      <c r="F107" s="36">
        <f t="shared" si="55"/>
        <v>580.46843128504383</v>
      </c>
      <c r="G107" s="36">
        <f t="shared" si="55"/>
        <v>984.90134608628807</v>
      </c>
      <c r="H107" s="36">
        <f t="shared" si="55"/>
        <v>613.38384754788012</v>
      </c>
      <c r="I107" s="36">
        <f t="shared" si="55"/>
        <v>3093.2790478830229</v>
      </c>
      <c r="J107" s="36">
        <f t="shared" si="55"/>
        <v>2379.6787847732598</v>
      </c>
      <c r="K107" s="36">
        <f t="shared" si="55"/>
        <v>569.407041911129</v>
      </c>
      <c r="L107" s="37" t="s">
        <v>131</v>
      </c>
    </row>
    <row r="108" spans="1:15" s="53" customFormat="1" ht="20.100000000000001" hidden="1" customHeight="1" thickBot="1" x14ac:dyDescent="0.3">
      <c r="A108" s="327" t="s">
        <v>931</v>
      </c>
      <c r="B108" s="321" t="s">
        <v>8</v>
      </c>
      <c r="C108" s="9">
        <v>2711.1605698863641</v>
      </c>
      <c r="D108" s="9">
        <v>10967.182322727273</v>
      </c>
      <c r="E108" s="9">
        <v>572.18103678804562</v>
      </c>
      <c r="F108" s="9">
        <v>604.46780661401795</v>
      </c>
      <c r="G108" s="9">
        <v>567.2676802309054</v>
      </c>
      <c r="H108" s="9">
        <v>730.38566597964348</v>
      </c>
      <c r="I108" s="9">
        <v>848.1050370414431</v>
      </c>
      <c r="J108" s="9">
        <v>862.89270619275089</v>
      </c>
      <c r="K108" s="9">
        <v>213.42550785578879</v>
      </c>
      <c r="L108" s="30">
        <v>3064283.5692000007</v>
      </c>
      <c r="M108" s="350"/>
      <c r="N108" s="351"/>
      <c r="O108" s="351"/>
    </row>
    <row r="109" spans="1:15" s="53" customFormat="1" ht="20.100000000000001" customHeight="1" x14ac:dyDescent="0.25">
      <c r="A109" s="341"/>
      <c r="B109" s="322"/>
      <c r="C109" s="10">
        <f>C108/13.19*19.53*1.039*1.15</f>
        <v>4796.517963708714</v>
      </c>
      <c r="D109" s="10">
        <f t="shared" ref="D109:L109" si="56">D108/13.19*19.53*1.039</f>
        <v>16872.057962290775</v>
      </c>
      <c r="E109" s="10">
        <f t="shared" si="56"/>
        <v>880.25085509938447</v>
      </c>
      <c r="F109" s="10">
        <f t="shared" si="56"/>
        <v>929.92124772065745</v>
      </c>
      <c r="G109" s="10">
        <f t="shared" si="56"/>
        <v>872.69208255580406</v>
      </c>
      <c r="H109" s="10">
        <f t="shared" si="56"/>
        <v>1123.6349436534611</v>
      </c>
      <c r="I109" s="10">
        <f t="shared" si="56"/>
        <v>1304.7359770267431</v>
      </c>
      <c r="J109" s="10">
        <f t="shared" si="56"/>
        <v>1327.4855223252659</v>
      </c>
      <c r="K109" s="10">
        <f t="shared" si="56"/>
        <v>328.33661675451657</v>
      </c>
      <c r="L109" s="40">
        <f t="shared" si="56"/>
        <v>4714134.2663099747</v>
      </c>
      <c r="M109" s="55"/>
      <c r="N109" s="56"/>
      <c r="O109" s="56"/>
    </row>
    <row r="110" spans="1:15" s="51" customFormat="1" ht="20.100000000000001" customHeight="1" x14ac:dyDescent="0.25">
      <c r="A110" s="341"/>
      <c r="B110" s="322"/>
      <c r="C110" s="16">
        <f>C109*0.0214</f>
        <v>102.64548442336647</v>
      </c>
      <c r="D110" s="16">
        <f t="shared" ref="D110:L110" si="57">D109*0.0214</f>
        <v>361.06204039302258</v>
      </c>
      <c r="E110" s="16">
        <f t="shared" si="57"/>
        <v>18.837368299126826</v>
      </c>
      <c r="F110" s="16">
        <f t="shared" si="57"/>
        <v>19.900314701222069</v>
      </c>
      <c r="G110" s="16">
        <f t="shared" si="57"/>
        <v>18.675610566694207</v>
      </c>
      <c r="H110" s="16">
        <f t="shared" si="57"/>
        <v>24.045787794184065</v>
      </c>
      <c r="I110" s="16">
        <f t="shared" si="57"/>
        <v>27.921349908372299</v>
      </c>
      <c r="J110" s="16">
        <f t="shared" si="57"/>
        <v>28.408190177760691</v>
      </c>
      <c r="K110" s="16">
        <f t="shared" si="57"/>
        <v>7.0264035985466542</v>
      </c>
      <c r="L110" s="31">
        <f t="shared" si="57"/>
        <v>100882.47329903346</v>
      </c>
      <c r="M110" s="57"/>
    </row>
    <row r="111" spans="1:15" s="51" customFormat="1" ht="20.100000000000001" hidden="1" customHeight="1" x14ac:dyDescent="0.25">
      <c r="A111" s="341"/>
      <c r="B111" s="322"/>
      <c r="C111" s="16">
        <f>7108/2640.2</f>
        <v>2.6922202863419438</v>
      </c>
      <c r="D111" s="16">
        <f>5277/293</f>
        <v>18.010238907849828</v>
      </c>
      <c r="E111" s="16">
        <f>7280/2640.2</f>
        <v>2.7573668661465041</v>
      </c>
      <c r="F111" s="16">
        <f>28292/2/2640.2</f>
        <v>5.3579274297401716</v>
      </c>
      <c r="G111" s="16">
        <f>28392/2640.2</f>
        <v>10.753730777971366</v>
      </c>
      <c r="H111" s="16">
        <f>F111</f>
        <v>5.3579274297401716</v>
      </c>
      <c r="I111" s="16">
        <f>39039/2640.2</f>
        <v>14.786379819710628</v>
      </c>
      <c r="J111" s="16">
        <f>1271/2640.2</f>
        <v>0.48140292402090756</v>
      </c>
      <c r="K111" s="16">
        <f>J111</f>
        <v>0.48140292402090756</v>
      </c>
      <c r="L111" s="31">
        <v>25896.28</v>
      </c>
      <c r="M111" s="58"/>
    </row>
    <row r="112" spans="1:15" s="53" customFormat="1" ht="20.100000000000001" hidden="1" customHeight="1" thickBot="1" x14ac:dyDescent="0.3">
      <c r="A112" s="341"/>
      <c r="B112" s="322"/>
      <c r="C112" s="27">
        <f>(1/5280.4)*416406*1.2*P4</f>
        <v>117.20916047149537</v>
      </c>
      <c r="D112" s="27">
        <f>(1/5280.4)*145742*1.2*P4</f>
        <v>41.023178017215599</v>
      </c>
      <c r="E112" s="27">
        <f>(1/5280.4)*277604*1.2*P4</f>
        <v>78.139440314330244</v>
      </c>
      <c r="F112" s="27">
        <f>(1/5280.4)*208203*1.2*P4</f>
        <v>58.604580235747683</v>
      </c>
      <c r="G112" s="27">
        <f>(1/5280.4)*208203*1.2*P4</f>
        <v>58.604580235747683</v>
      </c>
      <c r="H112" s="27">
        <f>(1/5280.4)*208203*1.2*P4</f>
        <v>58.604580235747683</v>
      </c>
      <c r="I112" s="28">
        <f>(1/5280.4)*274134*1.2*P4</f>
        <v>77.162711384305013</v>
      </c>
      <c r="J112" s="28">
        <f>(1/5280.4)*340065*1.2*P4</f>
        <v>95.720842532862335</v>
      </c>
      <c r="K112" s="27">
        <f>(1/5280.4)*145742*1.2*P4</f>
        <v>41.023178017215599</v>
      </c>
      <c r="L112" s="29">
        <f>145742*1.2*P4</f>
        <v>216618.78920210522</v>
      </c>
    </row>
    <row r="113" spans="1:22" s="53" customFormat="1" ht="20.100000000000001" customHeight="1" thickBot="1" x14ac:dyDescent="0.3">
      <c r="A113" s="341"/>
      <c r="B113" s="323"/>
      <c r="C113" s="18">
        <f>C112+C111</f>
        <v>119.90138075783732</v>
      </c>
      <c r="D113" s="18">
        <f t="shared" ref="D113:L113" si="58">D112+D111</f>
        <v>59.033416925065424</v>
      </c>
      <c r="E113" s="18">
        <f t="shared" si="58"/>
        <v>80.896807180476742</v>
      </c>
      <c r="F113" s="18">
        <f t="shared" si="58"/>
        <v>63.962507665487855</v>
      </c>
      <c r="G113" s="18">
        <f t="shared" si="58"/>
        <v>69.358311013719046</v>
      </c>
      <c r="H113" s="18">
        <f t="shared" si="58"/>
        <v>63.962507665487855</v>
      </c>
      <c r="I113" s="18">
        <f t="shared" si="58"/>
        <v>91.949091204015645</v>
      </c>
      <c r="J113" s="18">
        <f t="shared" si="58"/>
        <v>96.202245456883247</v>
      </c>
      <c r="K113" s="18">
        <f t="shared" si="58"/>
        <v>41.504580941236505</v>
      </c>
      <c r="L113" s="41">
        <f t="shared" si="58"/>
        <v>242515.06920210522</v>
      </c>
    </row>
    <row r="114" spans="1:22" s="53" customFormat="1" ht="20.100000000000001" customHeight="1" thickBot="1" x14ac:dyDescent="0.3">
      <c r="A114" s="345"/>
      <c r="B114" s="265" t="s">
        <v>212</v>
      </c>
      <c r="C114" s="18">
        <f>SUM(C109:C112)</f>
        <v>5019.0648288899174</v>
      </c>
      <c r="D114" s="18">
        <f t="shared" ref="D114:L114" si="59">SUM(D109:D112)</f>
        <v>17292.153419608861</v>
      </c>
      <c r="E114" s="18">
        <f t="shared" si="59"/>
        <v>979.98503057898813</v>
      </c>
      <c r="F114" s="18">
        <f t="shared" si="59"/>
        <v>1013.7840700873674</v>
      </c>
      <c r="G114" s="18">
        <f t="shared" si="59"/>
        <v>960.72600413621728</v>
      </c>
      <c r="H114" s="18">
        <f t="shared" si="59"/>
        <v>1211.6432391131329</v>
      </c>
      <c r="I114" s="18">
        <f t="shared" si="59"/>
        <v>1424.6064181391312</v>
      </c>
      <c r="J114" s="18">
        <f t="shared" si="59"/>
        <v>1452.0959579599098</v>
      </c>
      <c r="K114" s="18">
        <f t="shared" si="59"/>
        <v>376.86760129429979</v>
      </c>
      <c r="L114" s="71">
        <f t="shared" si="59"/>
        <v>5057531.8088111132</v>
      </c>
      <c r="M114" s="59"/>
    </row>
    <row r="115" spans="1:22" s="53" customFormat="1" ht="20.100000000000001" hidden="1" customHeight="1" thickBot="1" x14ac:dyDescent="0.3">
      <c r="A115" s="327" t="s">
        <v>932</v>
      </c>
      <c r="B115" s="321" t="s">
        <v>9</v>
      </c>
      <c r="C115" s="9">
        <v>6913.2712235558884</v>
      </c>
      <c r="D115" s="9">
        <v>7737.5079800000003</v>
      </c>
      <c r="E115" s="9">
        <v>1126.9277340585145</v>
      </c>
      <c r="F115" s="9">
        <v>651.69296849212299</v>
      </c>
      <c r="G115" s="9">
        <v>2847.6091215303827</v>
      </c>
      <c r="H115" s="9">
        <v>466.36041447861959</v>
      </c>
      <c r="I115" s="9">
        <v>5189.8892093023251</v>
      </c>
      <c r="J115" s="9">
        <v>4698.0023180795188</v>
      </c>
      <c r="K115" s="9" t="s">
        <v>131</v>
      </c>
      <c r="L115" s="20" t="s">
        <v>131</v>
      </c>
    </row>
    <row r="116" spans="1:22" s="53" customFormat="1" ht="20.100000000000001" customHeight="1" x14ac:dyDescent="0.25">
      <c r="A116" s="327"/>
      <c r="B116" s="322"/>
      <c r="C116" s="38">
        <f>C115/14.06*19.53*1.039</f>
        <v>9977.3697218273319</v>
      </c>
      <c r="D116" s="38">
        <f t="shared" ref="D116:J116" si="60">D115/14.06*19.53*1.039</f>
        <v>11166.924505869603</v>
      </c>
      <c r="E116" s="38">
        <f t="shared" si="60"/>
        <v>1626.4043878636653</v>
      </c>
      <c r="F116" s="38">
        <f t="shared" si="60"/>
        <v>940.53617766447769</v>
      </c>
      <c r="G116" s="38">
        <f t="shared" si="60"/>
        <v>4109.7257882705844</v>
      </c>
      <c r="H116" s="38">
        <f t="shared" si="60"/>
        <v>673.06057124206052</v>
      </c>
      <c r="I116" s="38">
        <f t="shared" si="60"/>
        <v>7490.1507234511882</v>
      </c>
      <c r="J116" s="38">
        <f t="shared" si="60"/>
        <v>6780.2498362521073</v>
      </c>
      <c r="K116" s="39" t="s">
        <v>131</v>
      </c>
      <c r="L116" s="40" t="s">
        <v>131</v>
      </c>
    </row>
    <row r="117" spans="1:22" s="51" customFormat="1" ht="20.100000000000001" customHeight="1" x14ac:dyDescent="0.25">
      <c r="A117" s="327"/>
      <c r="B117" s="322"/>
      <c r="C117" s="16">
        <f>C116*0.0214</f>
        <v>213.5157120471049</v>
      </c>
      <c r="D117" s="16">
        <f t="shared" ref="D117:J117" si="61">D116*0.0214</f>
        <v>238.9721844256095</v>
      </c>
      <c r="E117" s="16">
        <f t="shared" si="61"/>
        <v>34.805053900282438</v>
      </c>
      <c r="F117" s="16">
        <f t="shared" si="61"/>
        <v>20.127474202019823</v>
      </c>
      <c r="G117" s="16">
        <f t="shared" si="61"/>
        <v>87.948131868990501</v>
      </c>
      <c r="H117" s="16">
        <f t="shared" si="61"/>
        <v>14.403496224580094</v>
      </c>
      <c r="I117" s="16">
        <f t="shared" si="61"/>
        <v>160.28922548185542</v>
      </c>
      <c r="J117" s="16">
        <f t="shared" si="61"/>
        <v>145.09734649579508</v>
      </c>
      <c r="K117" s="16" t="s">
        <v>131</v>
      </c>
      <c r="L117" s="31" t="s">
        <v>131</v>
      </c>
    </row>
    <row r="118" spans="1:22" s="51" customFormat="1" ht="20.100000000000001" hidden="1" customHeight="1" x14ac:dyDescent="0.25">
      <c r="A118" s="327"/>
      <c r="B118" s="322"/>
      <c r="C118" s="16">
        <f>2239/266.6</f>
        <v>8.398349587396849</v>
      </c>
      <c r="D118" s="16">
        <f>1663/133.3</f>
        <v>12.475618904726181</v>
      </c>
      <c r="E118" s="16">
        <f>735.2/266.6</f>
        <v>2.7576894223555888</v>
      </c>
      <c r="F118" s="16">
        <f>837/2/266.6</f>
        <v>1.569767441860465</v>
      </c>
      <c r="G118" s="16">
        <f>717/266.6</f>
        <v>2.689422355588897</v>
      </c>
      <c r="H118" s="16">
        <f>F118</f>
        <v>1.569767441860465</v>
      </c>
      <c r="I118" s="16">
        <f>1076/266.6</f>
        <v>4.0360090022505624</v>
      </c>
      <c r="J118" s="16">
        <f>400/266.6</f>
        <v>1.5003750937734432</v>
      </c>
      <c r="K118" s="16" t="s">
        <v>131</v>
      </c>
      <c r="L118" s="31" t="s">
        <v>131</v>
      </c>
    </row>
    <row r="119" spans="1:22" s="53" customFormat="1" ht="20.100000000000001" hidden="1" customHeight="1" thickBot="1" x14ac:dyDescent="0.3">
      <c r="A119" s="327"/>
      <c r="B119" s="322"/>
      <c r="C119" s="27">
        <f>105.75*P4</f>
        <v>130.98167171052631</v>
      </c>
      <c r="D119" s="27">
        <f>53.12*P4</f>
        <v>65.794292210526308</v>
      </c>
      <c r="E119" s="27">
        <f>65.23*P4</f>
        <v>80.793706342105253</v>
      </c>
      <c r="F119" s="27">
        <f>49.9*P4</f>
        <v>61.806008684210518</v>
      </c>
      <c r="G119" s="27">
        <f>47.9*P4</f>
        <v>59.32881394736841</v>
      </c>
      <c r="H119" s="18">
        <f>47.9*P4</f>
        <v>59.32881394736841</v>
      </c>
      <c r="I119" s="28">
        <f>68.9*P4</f>
        <v>85.339358684210524</v>
      </c>
      <c r="J119" s="28">
        <f>85.42*P4</f>
        <v>105.8009872105263</v>
      </c>
      <c r="K119" s="18" t="s">
        <v>131</v>
      </c>
      <c r="L119" s="29" t="s">
        <v>131</v>
      </c>
    </row>
    <row r="120" spans="1:22" s="53" customFormat="1" ht="20.100000000000001" customHeight="1" thickBot="1" x14ac:dyDescent="0.3">
      <c r="A120" s="327"/>
      <c r="B120" s="323"/>
      <c r="C120" s="18">
        <f>C119+C118</f>
        <v>139.38002129792315</v>
      </c>
      <c r="D120" s="18">
        <f t="shared" ref="D120:J120" si="62">D119+D118</f>
        <v>78.269911115252484</v>
      </c>
      <c r="E120" s="18">
        <f t="shared" si="62"/>
        <v>83.551395764460835</v>
      </c>
      <c r="F120" s="18">
        <f t="shared" si="62"/>
        <v>63.375776126070981</v>
      </c>
      <c r="G120" s="18">
        <f t="shared" si="62"/>
        <v>62.018236302957305</v>
      </c>
      <c r="H120" s="18">
        <f t="shared" si="62"/>
        <v>60.898581389228873</v>
      </c>
      <c r="I120" s="18">
        <f t="shared" si="62"/>
        <v>89.37536768646109</v>
      </c>
      <c r="J120" s="18">
        <f t="shared" si="62"/>
        <v>107.30136230429974</v>
      </c>
      <c r="K120" s="18" t="s">
        <v>131</v>
      </c>
      <c r="L120" s="34" t="s">
        <v>131</v>
      </c>
    </row>
    <row r="121" spans="1:22" s="53" customFormat="1" ht="20.100000000000001" customHeight="1" thickBot="1" x14ac:dyDescent="0.3">
      <c r="A121" s="328"/>
      <c r="B121" s="265" t="s">
        <v>212</v>
      </c>
      <c r="C121" s="36">
        <f>SUM(C116:C119)</f>
        <v>10330.265455172359</v>
      </c>
      <c r="D121" s="36">
        <f t="shared" ref="D121:J121" si="63">SUM(D116:D119)</f>
        <v>11484.166601410465</v>
      </c>
      <c r="E121" s="36">
        <f t="shared" si="63"/>
        <v>1744.7608375284085</v>
      </c>
      <c r="F121" s="36">
        <f t="shared" si="63"/>
        <v>1024.0394279925686</v>
      </c>
      <c r="G121" s="36">
        <f t="shared" si="63"/>
        <v>4259.692156442532</v>
      </c>
      <c r="H121" s="36">
        <f t="shared" si="63"/>
        <v>748.36264885586945</v>
      </c>
      <c r="I121" s="36">
        <f t="shared" si="63"/>
        <v>7739.8153166195043</v>
      </c>
      <c r="J121" s="36">
        <f t="shared" si="63"/>
        <v>7032.6485450522023</v>
      </c>
      <c r="K121" s="36" t="s">
        <v>131</v>
      </c>
      <c r="L121" s="37" t="s">
        <v>131</v>
      </c>
    </row>
    <row r="122" spans="1:22" s="53" customFormat="1" ht="20.100000000000001" hidden="1" customHeight="1" thickBot="1" x14ac:dyDescent="0.3">
      <c r="A122" s="340" t="s">
        <v>933</v>
      </c>
      <c r="B122" s="321" t="s">
        <v>10</v>
      </c>
      <c r="C122" s="9">
        <v>6923.439321712538</v>
      </c>
      <c r="D122" s="9">
        <v>6661.7556450000002</v>
      </c>
      <c r="E122" s="9">
        <v>1071.0186281345568</v>
      </c>
      <c r="F122" s="9">
        <v>698.2520267788376</v>
      </c>
      <c r="G122" s="9">
        <v>1704.8629810397556</v>
      </c>
      <c r="H122" s="9">
        <v>731.27538045300366</v>
      </c>
      <c r="I122" s="9">
        <v>4111.7264079510705</v>
      </c>
      <c r="J122" s="9">
        <v>3483.6050023967991</v>
      </c>
      <c r="K122" s="9" t="s">
        <v>131</v>
      </c>
      <c r="L122" s="20" t="s">
        <v>131</v>
      </c>
      <c r="O122" s="73"/>
      <c r="P122" s="73"/>
      <c r="Q122" s="73"/>
      <c r="R122" s="73"/>
      <c r="S122" s="73"/>
      <c r="T122" s="73"/>
      <c r="U122" s="73"/>
    </row>
    <row r="123" spans="1:22" s="53" customFormat="1" ht="20.100000000000001" customHeight="1" x14ac:dyDescent="0.25">
      <c r="A123" s="327"/>
      <c r="B123" s="322"/>
      <c r="C123" s="10">
        <f>C122/14.06*19.53*1.039</f>
        <v>9992.0445221347545</v>
      </c>
      <c r="D123" s="10">
        <f t="shared" ref="D123:J123" si="64">D122/14.06*19.53*1.039</f>
        <v>9614.3774657878494</v>
      </c>
      <c r="E123" s="10">
        <f t="shared" si="64"/>
        <v>1545.7152607367811</v>
      </c>
      <c r="F123" s="10">
        <f t="shared" si="64"/>
        <v>1007.7311311683737</v>
      </c>
      <c r="G123" s="10">
        <f t="shared" si="64"/>
        <v>2460.4919634761718</v>
      </c>
      <c r="H123" s="10">
        <f t="shared" si="64"/>
        <v>1055.3910881420197</v>
      </c>
      <c r="I123" s="10">
        <f t="shared" si="64"/>
        <v>5934.1248506705897</v>
      </c>
      <c r="J123" s="10">
        <f t="shared" si="64"/>
        <v>5027.6076187044846</v>
      </c>
      <c r="K123" s="10" t="s">
        <v>131</v>
      </c>
      <c r="L123" s="26" t="s">
        <v>131</v>
      </c>
      <c r="O123" s="73"/>
      <c r="P123" s="73"/>
      <c r="Q123" s="73"/>
      <c r="R123" s="73"/>
      <c r="S123" s="73"/>
      <c r="T123" s="73"/>
      <c r="U123" s="73"/>
      <c r="V123" s="73"/>
    </row>
    <row r="124" spans="1:22" s="51" customFormat="1" ht="20.100000000000001" customHeight="1" x14ac:dyDescent="0.25">
      <c r="A124" s="327"/>
      <c r="B124" s="322"/>
      <c r="C124" s="16">
        <f>C123*0.0214</f>
        <v>213.82975277368374</v>
      </c>
      <c r="D124" s="16">
        <f t="shared" ref="D124:J124" si="65">D123*0.0214</f>
        <v>205.74767776785995</v>
      </c>
      <c r="E124" s="16">
        <f t="shared" si="65"/>
        <v>33.078306579767116</v>
      </c>
      <c r="F124" s="16">
        <f t="shared" si="65"/>
        <v>21.565446207003198</v>
      </c>
      <c r="G124" s="16">
        <f t="shared" si="65"/>
        <v>52.654528018390074</v>
      </c>
      <c r="H124" s="16">
        <f t="shared" si="65"/>
        <v>22.585369286239221</v>
      </c>
      <c r="I124" s="16">
        <f t="shared" si="65"/>
        <v>126.99027180435061</v>
      </c>
      <c r="J124" s="16">
        <f t="shared" si="65"/>
        <v>107.59080304027596</v>
      </c>
      <c r="K124" s="16" t="s">
        <v>131</v>
      </c>
      <c r="L124" s="31" t="s">
        <v>131</v>
      </c>
      <c r="O124" s="134"/>
      <c r="P124" s="134"/>
      <c r="Q124" s="134"/>
      <c r="R124" s="134"/>
      <c r="S124" s="134"/>
      <c r="T124" s="134"/>
      <c r="U124" s="134"/>
      <c r="V124" s="134"/>
    </row>
    <row r="125" spans="1:22" s="51" customFormat="1" ht="20.100000000000001" hidden="1" customHeight="1" x14ac:dyDescent="0.25">
      <c r="A125" s="327"/>
      <c r="B125" s="322"/>
      <c r="C125" s="16">
        <f>4121/490.5</f>
        <v>8.4016309887869518</v>
      </c>
      <c r="D125" s="16">
        <f>3060/245.3</f>
        <v>12.474520994700367</v>
      </c>
      <c r="E125" s="16">
        <f>1351/490.5</f>
        <v>2.7543323139653415</v>
      </c>
      <c r="F125" s="16">
        <f>1539/2/490.5</f>
        <v>1.5688073394495412</v>
      </c>
      <c r="G125" s="16">
        <f>1320/490.5</f>
        <v>2.691131498470948</v>
      </c>
      <c r="H125" s="16">
        <f>F125</f>
        <v>1.5688073394495412</v>
      </c>
      <c r="I125" s="16">
        <f>1979/490.5</f>
        <v>4.034658511722732</v>
      </c>
      <c r="J125" s="16">
        <f>737/490.5</f>
        <v>1.5025484199796126</v>
      </c>
      <c r="K125" s="16" t="s">
        <v>131</v>
      </c>
      <c r="L125" s="31" t="s">
        <v>131</v>
      </c>
      <c r="O125" s="134"/>
      <c r="P125" s="134"/>
      <c r="Q125" s="134"/>
      <c r="R125" s="134"/>
      <c r="S125" s="134"/>
      <c r="T125" s="134"/>
      <c r="U125" s="134"/>
      <c r="V125" s="134"/>
    </row>
    <row r="126" spans="1:22" s="53" customFormat="1" ht="20.100000000000001" hidden="1" customHeight="1" thickBot="1" x14ac:dyDescent="0.3">
      <c r="A126" s="327"/>
      <c r="B126" s="322"/>
      <c r="C126" s="27">
        <f>(1/490.5)*82673.04*1.2*P4</f>
        <v>250.51647653423464</v>
      </c>
      <c r="D126" s="27">
        <f>(1/490.5)*28935.36*1.2*P4</f>
        <v>87.680148624625772</v>
      </c>
      <c r="E126" s="27">
        <f>(1/490.5)*55115.7*1.2*P4</f>
        <v>167.01201462675033</v>
      </c>
      <c r="F126" s="27">
        <f>(1/490.5)*41336.52*1.2*P4</f>
        <v>125.25823826711732</v>
      </c>
      <c r="G126" s="27">
        <f>(1/490.5)*41336.52*1.2*P4</f>
        <v>125.25823826711732</v>
      </c>
      <c r="H126" s="27">
        <f>(1/490.5)*41336.52*1.2*P4</f>
        <v>125.25823826711732</v>
      </c>
      <c r="I126" s="28">
        <f>(1/490.5)*54426.18*1.2*P4</f>
        <v>164.92262586228875</v>
      </c>
      <c r="J126" s="28">
        <f>(1/490.5)*67516.86*1.2*P4</f>
        <v>204.59010426924189</v>
      </c>
      <c r="K126" s="27" t="s">
        <v>131</v>
      </c>
      <c r="L126" s="29" t="s">
        <v>131</v>
      </c>
      <c r="O126" s="73"/>
      <c r="P126" s="73"/>
      <c r="Q126" s="73"/>
      <c r="R126" s="73"/>
      <c r="S126" s="73"/>
      <c r="T126" s="73"/>
      <c r="U126" s="73"/>
      <c r="V126" s="73"/>
    </row>
    <row r="127" spans="1:22" s="53" customFormat="1" ht="20.100000000000001" customHeight="1" thickBot="1" x14ac:dyDescent="0.3">
      <c r="A127" s="327"/>
      <c r="B127" s="323"/>
      <c r="C127" s="18">
        <f>C126+C125</f>
        <v>258.9181075230216</v>
      </c>
      <c r="D127" s="18">
        <f t="shared" ref="D127:J127" si="66">D126+D125</f>
        <v>100.15466961932614</v>
      </c>
      <c r="E127" s="18">
        <f t="shared" si="66"/>
        <v>169.76634694071566</v>
      </c>
      <c r="F127" s="18">
        <f t="shared" si="66"/>
        <v>126.82704560656686</v>
      </c>
      <c r="G127" s="18">
        <f t="shared" si="66"/>
        <v>127.94936976558827</v>
      </c>
      <c r="H127" s="18">
        <f t="shared" si="66"/>
        <v>126.82704560656686</v>
      </c>
      <c r="I127" s="18">
        <f t="shared" si="66"/>
        <v>168.95728437401149</v>
      </c>
      <c r="J127" s="18">
        <f t="shared" si="66"/>
        <v>206.0926526892215</v>
      </c>
      <c r="K127" s="18" t="s">
        <v>131</v>
      </c>
      <c r="L127" s="34" t="s">
        <v>131</v>
      </c>
      <c r="O127" s="73"/>
      <c r="P127" s="73"/>
      <c r="Q127" s="73"/>
      <c r="R127" s="73"/>
      <c r="S127" s="73"/>
      <c r="T127" s="73"/>
      <c r="U127" s="73"/>
      <c r="V127" s="73"/>
    </row>
    <row r="128" spans="1:22" s="53" customFormat="1" ht="20.100000000000001" customHeight="1" thickBot="1" x14ac:dyDescent="0.3">
      <c r="A128" s="328"/>
      <c r="B128" s="265" t="s">
        <v>212</v>
      </c>
      <c r="C128" s="18">
        <f>SUM(C123:C126)</f>
        <v>10464.792382431458</v>
      </c>
      <c r="D128" s="18">
        <f t="shared" ref="D128:J128" si="67">SUM(D123:D126)</f>
        <v>9920.2798131750351</v>
      </c>
      <c r="E128" s="18">
        <f t="shared" si="67"/>
        <v>1748.5599142572637</v>
      </c>
      <c r="F128" s="18">
        <f t="shared" si="67"/>
        <v>1156.1236229819438</v>
      </c>
      <c r="G128" s="18">
        <f t="shared" si="67"/>
        <v>2641.0958612601498</v>
      </c>
      <c r="H128" s="18">
        <f t="shared" si="67"/>
        <v>1204.8035030348258</v>
      </c>
      <c r="I128" s="18">
        <f t="shared" si="67"/>
        <v>6230.0724068489517</v>
      </c>
      <c r="J128" s="18">
        <f t="shared" si="67"/>
        <v>5341.2910744339824</v>
      </c>
      <c r="K128" s="18" t="s">
        <v>131</v>
      </c>
      <c r="L128" s="34" t="s">
        <v>131</v>
      </c>
      <c r="O128" s="73"/>
      <c r="P128" s="73"/>
      <c r="Q128" s="73"/>
      <c r="R128" s="73"/>
      <c r="S128" s="73"/>
      <c r="T128" s="73"/>
      <c r="U128" s="73"/>
      <c r="V128" s="73"/>
    </row>
    <row r="129" spans="1:22" s="53" customFormat="1" ht="20.100000000000001" hidden="1" customHeight="1" thickBot="1" x14ac:dyDescent="0.3">
      <c r="A129" s="340" t="s">
        <v>934</v>
      </c>
      <c r="B129" s="346" t="s">
        <v>11</v>
      </c>
      <c r="C129" s="9">
        <v>3796.617529276773</v>
      </c>
      <c r="D129" s="9">
        <v>7550.5344600000008</v>
      </c>
      <c r="E129" s="9">
        <v>487.20323908205842</v>
      </c>
      <c r="F129" s="9">
        <v>624.92726453407499</v>
      </c>
      <c r="G129" s="9">
        <v>1361.8760484700974</v>
      </c>
      <c r="H129" s="9">
        <v>475.3583088317107</v>
      </c>
      <c r="I129" s="9">
        <v>2090.7401624478448</v>
      </c>
      <c r="J129" s="9">
        <v>2037.8101312239221</v>
      </c>
      <c r="K129" s="9">
        <v>1274.7498771905423</v>
      </c>
      <c r="L129" s="20" t="s">
        <v>131</v>
      </c>
      <c r="O129" s="73"/>
      <c r="P129" s="73"/>
      <c r="Q129" s="73"/>
      <c r="R129" s="73"/>
      <c r="S129" s="73"/>
      <c r="T129" s="73"/>
      <c r="U129" s="73"/>
      <c r="V129" s="73"/>
    </row>
    <row r="130" spans="1:22" s="53" customFormat="1" ht="20.100000000000001" customHeight="1" x14ac:dyDescent="0.25">
      <c r="A130" s="327"/>
      <c r="B130" s="347"/>
      <c r="C130" s="10">
        <f>C129/14.06*19.53*1.039</f>
        <v>5479.3534865077963</v>
      </c>
      <c r="D130" s="10">
        <f t="shared" ref="D130:K130" si="68">D129/14.06*19.53*1.039</f>
        <v>10897.08062488963</v>
      </c>
      <c r="E130" s="10">
        <f t="shared" si="68"/>
        <v>703.14134782249164</v>
      </c>
      <c r="F130" s="10">
        <f t="shared" si="68"/>
        <v>901.90738448991124</v>
      </c>
      <c r="G130" s="10">
        <f t="shared" si="68"/>
        <v>1965.4864407154494</v>
      </c>
      <c r="H130" s="10">
        <f t="shared" si="68"/>
        <v>686.04651028244359</v>
      </c>
      <c r="I130" s="10">
        <f t="shared" si="68"/>
        <v>3017.397541403845</v>
      </c>
      <c r="J130" s="10">
        <f t="shared" si="68"/>
        <v>2941.0078737875192</v>
      </c>
      <c r="K130" s="10">
        <f t="shared" si="68"/>
        <v>1839.7442276309398</v>
      </c>
      <c r="L130" s="26" t="s">
        <v>131</v>
      </c>
      <c r="O130" s="73"/>
      <c r="P130" s="73"/>
      <c r="Q130" s="73"/>
      <c r="R130" s="73"/>
      <c r="S130" s="73"/>
      <c r="T130" s="73"/>
      <c r="U130" s="73"/>
      <c r="V130" s="73"/>
    </row>
    <row r="131" spans="1:22" s="51" customFormat="1" ht="20.100000000000001" customHeight="1" x14ac:dyDescent="0.25">
      <c r="A131" s="327"/>
      <c r="B131" s="347"/>
      <c r="C131" s="16">
        <f>C130*0.0214</f>
        <v>117.25816461126684</v>
      </c>
      <c r="D131" s="16">
        <f t="shared" ref="D131:K131" si="69">D130*0.0214</f>
        <v>233.19752537263807</v>
      </c>
      <c r="E131" s="16">
        <f t="shared" si="69"/>
        <v>15.04722484340132</v>
      </c>
      <c r="F131" s="16">
        <f t="shared" si="69"/>
        <v>19.300818028084098</v>
      </c>
      <c r="G131" s="16">
        <f t="shared" si="69"/>
        <v>42.061409831310613</v>
      </c>
      <c r="H131" s="16">
        <f t="shared" si="69"/>
        <v>14.681395320044292</v>
      </c>
      <c r="I131" s="16">
        <f t="shared" si="69"/>
        <v>64.572307386042283</v>
      </c>
      <c r="J131" s="16">
        <f t="shared" si="69"/>
        <v>62.937568499052908</v>
      </c>
      <c r="K131" s="16">
        <f t="shared" si="69"/>
        <v>39.370526471302107</v>
      </c>
      <c r="L131" s="31" t="s">
        <v>131</v>
      </c>
      <c r="O131" s="134"/>
      <c r="P131" s="134"/>
      <c r="Q131" s="134"/>
      <c r="R131" s="134"/>
      <c r="S131" s="134"/>
      <c r="T131" s="134"/>
      <c r="U131" s="134"/>
      <c r="V131" s="134"/>
    </row>
    <row r="132" spans="1:22" s="51" customFormat="1" ht="20.100000000000001" hidden="1" customHeight="1" x14ac:dyDescent="0.25">
      <c r="A132" s="327"/>
      <c r="B132" s="347"/>
      <c r="C132" s="16">
        <f>10990/1438</f>
        <v>7.642559109874826</v>
      </c>
      <c r="D132" s="16">
        <f>8159/479.3</f>
        <v>17.022741498017943</v>
      </c>
      <c r="E132" s="16">
        <f>3965/1438</f>
        <v>2.7573018080667593</v>
      </c>
      <c r="F132" s="16">
        <f>9008/2/1438</f>
        <v>3.1321279554937411</v>
      </c>
      <c r="G132" s="16">
        <f>6334/1438</f>
        <v>4.4047287899860921</v>
      </c>
      <c r="H132" s="16">
        <f>F132</f>
        <v>3.1321279554937411</v>
      </c>
      <c r="I132" s="16">
        <f>9652/1438</f>
        <v>6.7121001390820583</v>
      </c>
      <c r="J132" s="16">
        <f>1965/1438</f>
        <v>1.366481223922114</v>
      </c>
      <c r="K132" s="16">
        <f>J132</f>
        <v>1.366481223922114</v>
      </c>
      <c r="L132" s="31" t="s">
        <v>131</v>
      </c>
      <c r="O132" s="134"/>
      <c r="P132" s="134"/>
      <c r="Q132" s="134"/>
      <c r="R132" s="134"/>
      <c r="S132" s="134"/>
      <c r="T132" s="134"/>
      <c r="U132" s="134"/>
      <c r="V132" s="134"/>
    </row>
    <row r="133" spans="1:22" s="53" customFormat="1" ht="20.100000000000001" hidden="1" customHeight="1" thickBot="1" x14ac:dyDescent="0.3">
      <c r="A133" s="327"/>
      <c r="B133" s="347"/>
      <c r="C133" s="18">
        <f>(1/1438)*135380.52*1.2*P4</f>
        <v>139.92930943600027</v>
      </c>
      <c r="D133" s="18">
        <f>(1/1438)*115073.34*1.2*P4</f>
        <v>118.93980759339723</v>
      </c>
      <c r="E133" s="18">
        <f>(1/1438)*90253.68*1.2*P4</f>
        <v>93.286206290666826</v>
      </c>
      <c r="F133" s="18">
        <f>(1/1438)*67690.26*1.2*P4</f>
        <v>69.964654718000133</v>
      </c>
      <c r="G133" s="18">
        <f>(1/1438)*67690.26*1.2*P4</f>
        <v>69.964654718000133</v>
      </c>
      <c r="H133" s="18">
        <f>(1/1438)*67690.26*1.2*P4</f>
        <v>69.964654718000133</v>
      </c>
      <c r="I133" s="19">
        <f>(1/1438)*89125.56*1.2*P4</f>
        <v>92.120181425634996</v>
      </c>
      <c r="J133" s="19">
        <f>(1/1438)*110560.86*1.2*P4</f>
        <v>114.27570813326987</v>
      </c>
      <c r="K133" s="18">
        <f>(1/1438)*47383.08*1.2*P4</f>
        <v>48.975152875397107</v>
      </c>
      <c r="L133" s="34" t="s">
        <v>131</v>
      </c>
      <c r="O133" s="73"/>
      <c r="P133" s="73"/>
      <c r="Q133" s="73"/>
      <c r="R133" s="73"/>
      <c r="S133" s="73"/>
      <c r="T133" s="73"/>
      <c r="U133" s="73"/>
      <c r="V133" s="73"/>
    </row>
    <row r="134" spans="1:22" s="53" customFormat="1" ht="20.100000000000001" customHeight="1" thickBot="1" x14ac:dyDescent="0.3">
      <c r="A134" s="327"/>
      <c r="B134" s="348"/>
      <c r="C134" s="18">
        <f>C133+C132</f>
        <v>147.57186854587511</v>
      </c>
      <c r="D134" s="18">
        <f t="shared" ref="D134:K134" si="70">D133+D132</f>
        <v>135.96254909141518</v>
      </c>
      <c r="E134" s="18">
        <f t="shared" si="70"/>
        <v>96.043508098733582</v>
      </c>
      <c r="F134" s="18">
        <f t="shared" si="70"/>
        <v>73.096782673493877</v>
      </c>
      <c r="G134" s="18">
        <f t="shared" si="70"/>
        <v>74.369383507986228</v>
      </c>
      <c r="H134" s="18">
        <f t="shared" si="70"/>
        <v>73.096782673493877</v>
      </c>
      <c r="I134" s="18">
        <f t="shared" si="70"/>
        <v>98.83228156471705</v>
      </c>
      <c r="J134" s="18">
        <f t="shared" si="70"/>
        <v>115.64218935719198</v>
      </c>
      <c r="K134" s="18">
        <f t="shared" si="70"/>
        <v>50.341634099319222</v>
      </c>
      <c r="L134" s="34" t="s">
        <v>131</v>
      </c>
      <c r="O134" s="73"/>
      <c r="P134" s="73"/>
      <c r="Q134" s="73"/>
      <c r="R134" s="73"/>
      <c r="S134" s="73"/>
      <c r="T134" s="73"/>
      <c r="U134" s="73"/>
      <c r="V134" s="73"/>
    </row>
    <row r="135" spans="1:22" s="53" customFormat="1" ht="20.100000000000001" customHeight="1" thickBot="1" x14ac:dyDescent="0.3">
      <c r="A135" s="328"/>
      <c r="B135" s="266" t="s">
        <v>212</v>
      </c>
      <c r="C135" s="36">
        <f>SUM(C130:C133)</f>
        <v>5744.1835196649381</v>
      </c>
      <c r="D135" s="36">
        <f t="shared" ref="D135:K135" si="71">SUM(D130:D133)</f>
        <v>11266.240699353682</v>
      </c>
      <c r="E135" s="36">
        <f t="shared" si="71"/>
        <v>814.23208076462652</v>
      </c>
      <c r="F135" s="36">
        <f t="shared" si="71"/>
        <v>994.30498519148921</v>
      </c>
      <c r="G135" s="36">
        <f t="shared" si="71"/>
        <v>2081.9172340547461</v>
      </c>
      <c r="H135" s="36">
        <f t="shared" si="71"/>
        <v>773.82468827598177</v>
      </c>
      <c r="I135" s="36">
        <f t="shared" si="71"/>
        <v>3180.8021303546043</v>
      </c>
      <c r="J135" s="36">
        <f t="shared" si="71"/>
        <v>3119.5876316437639</v>
      </c>
      <c r="K135" s="36">
        <f t="shared" si="71"/>
        <v>1929.4563882015611</v>
      </c>
      <c r="L135" s="37" t="s">
        <v>131</v>
      </c>
      <c r="O135" s="73"/>
      <c r="P135" s="73"/>
      <c r="Q135" s="73"/>
      <c r="R135" s="73"/>
      <c r="S135" s="73"/>
      <c r="T135" s="73"/>
      <c r="U135" s="73"/>
      <c r="V135" s="73"/>
    </row>
    <row r="136" spans="1:22" s="53" customFormat="1" ht="20.100000000000001" hidden="1" customHeight="1" thickBot="1" x14ac:dyDescent="0.3">
      <c r="A136" s="327" t="s">
        <v>935</v>
      </c>
      <c r="B136" s="321" t="s">
        <v>12</v>
      </c>
      <c r="C136" s="9">
        <v>4416.1257895017679</v>
      </c>
      <c r="D136" s="9">
        <v>7545.5339400000003</v>
      </c>
      <c r="E136" s="9">
        <v>801.59994737544196</v>
      </c>
      <c r="F136" s="9">
        <v>642.61757680250787</v>
      </c>
      <c r="G136" s="9">
        <v>1042.8922752617889</v>
      </c>
      <c r="H136" s="9">
        <v>429.73975882078309</v>
      </c>
      <c r="I136" s="9">
        <v>2603.3325647302072</v>
      </c>
      <c r="J136" s="9">
        <v>2388.8305389848592</v>
      </c>
      <c r="K136" s="9">
        <v>1666.6364952978056</v>
      </c>
      <c r="L136" s="20" t="s">
        <v>131</v>
      </c>
      <c r="O136" s="73"/>
      <c r="P136" s="73"/>
      <c r="Q136" s="73"/>
      <c r="R136" s="73"/>
      <c r="S136" s="73"/>
      <c r="T136" s="73"/>
      <c r="U136" s="73"/>
      <c r="V136" s="73"/>
    </row>
    <row r="137" spans="1:22" s="53" customFormat="1" ht="20.100000000000001" customHeight="1" x14ac:dyDescent="0.25">
      <c r="A137" s="341"/>
      <c r="B137" s="322"/>
      <c r="C137" s="10">
        <f>C136/14.06*19.53*1.039</f>
        <v>6373.4400568321016</v>
      </c>
      <c r="D137" s="10">
        <f t="shared" ref="D137:K137" si="72">D136/14.06*19.53*1.039</f>
        <v>10889.863775553327</v>
      </c>
      <c r="E137" s="10">
        <f t="shared" si="72"/>
        <v>1156.8848936102299</v>
      </c>
      <c r="F137" s="10">
        <f t="shared" si="72"/>
        <v>927.43839293571443</v>
      </c>
      <c r="G137" s="10">
        <f t="shared" si="72"/>
        <v>1505.1227521451906</v>
      </c>
      <c r="H137" s="10">
        <f t="shared" si="72"/>
        <v>620.20891691827308</v>
      </c>
      <c r="I137" s="10">
        <f t="shared" si="72"/>
        <v>3757.1810315618068</v>
      </c>
      <c r="J137" s="10">
        <f t="shared" si="72"/>
        <v>3447.6074667854118</v>
      </c>
      <c r="K137" s="10">
        <f t="shared" si="72"/>
        <v>2405.3227434238706</v>
      </c>
      <c r="L137" s="26" t="s">
        <v>131</v>
      </c>
      <c r="O137" s="73"/>
      <c r="P137" s="73"/>
      <c r="Q137" s="73"/>
      <c r="R137" s="73"/>
      <c r="S137" s="73"/>
      <c r="T137" s="73"/>
      <c r="U137" s="73"/>
      <c r="V137" s="73"/>
    </row>
    <row r="138" spans="1:22" s="51" customFormat="1" ht="20.100000000000001" customHeight="1" x14ac:dyDescent="0.25">
      <c r="A138" s="341"/>
      <c r="B138" s="322"/>
      <c r="C138" s="16">
        <f>C137*0.0214</f>
        <v>136.39161721620698</v>
      </c>
      <c r="D138" s="16">
        <f t="shared" ref="D138:K138" si="73">D137*0.0214</f>
        <v>233.04308479684119</v>
      </c>
      <c r="E138" s="16">
        <f t="shared" si="73"/>
        <v>24.75733672325892</v>
      </c>
      <c r="F138" s="16">
        <f t="shared" si="73"/>
        <v>19.847181608824286</v>
      </c>
      <c r="G138" s="16">
        <f t="shared" si="73"/>
        <v>32.209626895907078</v>
      </c>
      <c r="H138" s="16">
        <f t="shared" si="73"/>
        <v>13.272470822051043</v>
      </c>
      <c r="I138" s="16">
        <f t="shared" si="73"/>
        <v>80.403674075422657</v>
      </c>
      <c r="J138" s="16">
        <f t="shared" si="73"/>
        <v>73.77879978920781</v>
      </c>
      <c r="K138" s="16">
        <f t="shared" si="73"/>
        <v>51.473906709270828</v>
      </c>
      <c r="L138" s="31" t="s">
        <v>131</v>
      </c>
      <c r="P138" s="134"/>
      <c r="Q138" s="134"/>
      <c r="R138" s="134"/>
      <c r="S138" s="134"/>
      <c r="T138" s="134"/>
      <c r="U138" s="134"/>
      <c r="V138" s="134"/>
    </row>
    <row r="139" spans="1:22" s="51" customFormat="1" ht="20.100000000000001" hidden="1" customHeight="1" x14ac:dyDescent="0.25">
      <c r="A139" s="341"/>
      <c r="B139" s="322"/>
      <c r="C139" s="16">
        <f>11040/1499.2</f>
        <v>7.3639274279615794</v>
      </c>
      <c r="D139" s="16">
        <f>8197/500</f>
        <v>16.393999999999998</v>
      </c>
      <c r="E139" s="16">
        <f>4134/1499.2</f>
        <v>2.757470651013874</v>
      </c>
      <c r="F139" s="16">
        <f>9407/2/1499.2</f>
        <v>3.1373399146211312</v>
      </c>
      <c r="G139" s="16">
        <f>6749/1499.2</f>
        <v>4.5017342582710782</v>
      </c>
      <c r="H139" s="16">
        <f>F139</f>
        <v>3.1373399146211312</v>
      </c>
      <c r="I139" s="16">
        <f>10079/1499.2</f>
        <v>6.7229188900747063</v>
      </c>
      <c r="J139" s="16">
        <f>1974/1499.2</f>
        <v>1.3167022411953042</v>
      </c>
      <c r="K139" s="16">
        <f>J139</f>
        <v>1.3167022411953042</v>
      </c>
      <c r="L139" s="31" t="s">
        <v>131</v>
      </c>
      <c r="P139" s="134"/>
      <c r="Q139" s="134"/>
      <c r="R139" s="134"/>
      <c r="S139" s="134"/>
      <c r="T139" s="134"/>
      <c r="U139" s="134"/>
      <c r="V139" s="134"/>
    </row>
    <row r="140" spans="1:22" s="53" customFormat="1" ht="20.100000000000001" hidden="1" customHeight="1" thickBot="1" x14ac:dyDescent="0.3">
      <c r="A140" s="341"/>
      <c r="B140" s="322"/>
      <c r="C140" s="27">
        <f>(1/1499.3)*136372.98*1.2*P4</f>
        <v>135.19206094983272</v>
      </c>
      <c r="D140" s="27">
        <f>(1/1499.3)*47730.9*1.2*P4</f>
        <v>47.317575241007198</v>
      </c>
      <c r="E140" s="27">
        <f>(1/1499.3)*90915.66*1.2*P4</f>
        <v>90.128377688998711</v>
      </c>
      <c r="F140" s="27">
        <f>(1/1499.3)*68187*1.2*P4</f>
        <v>67.596536058581719</v>
      </c>
      <c r="G140" s="27">
        <f>(1/1499.3)*68187*1.2*P4</f>
        <v>67.596536058581719</v>
      </c>
      <c r="H140" s="27">
        <f>(1/1499.3)*68187*1.2*P4</f>
        <v>67.596536058581719</v>
      </c>
      <c r="I140" s="28">
        <f>(1/1499.3)*89779.38*1.2*P4</f>
        <v>89.001937282577472</v>
      </c>
      <c r="J140" s="28">
        <f>(1/1499.3)*111371.76*1.2*P4</f>
        <v>110.40733850657323</v>
      </c>
      <c r="K140" s="27">
        <f>(1/1499.3)*47730.9*1.2*P4</f>
        <v>47.317575241007198</v>
      </c>
      <c r="L140" s="29" t="s">
        <v>131</v>
      </c>
      <c r="P140" s="73"/>
      <c r="Q140" s="73"/>
      <c r="R140" s="73"/>
      <c r="S140" s="73"/>
      <c r="T140" s="73"/>
      <c r="U140" s="73"/>
      <c r="V140" s="73"/>
    </row>
    <row r="141" spans="1:22" s="53" customFormat="1" ht="20.100000000000001" customHeight="1" thickBot="1" x14ac:dyDescent="0.3">
      <c r="A141" s="341"/>
      <c r="B141" s="323"/>
      <c r="C141" s="18">
        <f>C140+C139</f>
        <v>142.55598837779431</v>
      </c>
      <c r="D141" s="18">
        <f t="shared" ref="D141:K141" si="74">D140+D139</f>
        <v>63.711575241007196</v>
      </c>
      <c r="E141" s="18">
        <f t="shared" si="74"/>
        <v>92.885848340012586</v>
      </c>
      <c r="F141" s="18">
        <f t="shared" si="74"/>
        <v>70.733875973202856</v>
      </c>
      <c r="G141" s="18">
        <f t="shared" si="74"/>
        <v>72.098270316852791</v>
      </c>
      <c r="H141" s="18">
        <f t="shared" si="74"/>
        <v>70.733875973202856</v>
      </c>
      <c r="I141" s="18">
        <f t="shared" si="74"/>
        <v>95.724856172652181</v>
      </c>
      <c r="J141" s="18">
        <f t="shared" si="74"/>
        <v>111.72404074776853</v>
      </c>
      <c r="K141" s="18">
        <f t="shared" si="74"/>
        <v>48.634277482202499</v>
      </c>
      <c r="L141" s="34" t="s">
        <v>131</v>
      </c>
      <c r="P141" s="73"/>
      <c r="Q141" s="73"/>
      <c r="R141" s="73"/>
      <c r="S141" s="73"/>
      <c r="T141" s="73"/>
      <c r="U141" s="73"/>
      <c r="V141" s="73"/>
    </row>
    <row r="142" spans="1:22" s="53" customFormat="1" ht="20.100000000000001" customHeight="1" thickBot="1" x14ac:dyDescent="0.3">
      <c r="A142" s="345"/>
      <c r="B142" s="265" t="s">
        <v>212</v>
      </c>
      <c r="C142" s="18">
        <f>SUM(C137:C140)</f>
        <v>6652.3876624261029</v>
      </c>
      <c r="D142" s="18">
        <f t="shared" ref="D142:K142" si="75">SUM(D137:D140)</f>
        <v>11186.618435591177</v>
      </c>
      <c r="E142" s="18">
        <f t="shared" si="75"/>
        <v>1274.5280786735013</v>
      </c>
      <c r="F142" s="18">
        <f t="shared" si="75"/>
        <v>1018.0194505177416</v>
      </c>
      <c r="G142" s="18">
        <f t="shared" si="75"/>
        <v>1609.4306493579504</v>
      </c>
      <c r="H142" s="18">
        <f t="shared" si="75"/>
        <v>704.21526371352695</v>
      </c>
      <c r="I142" s="18">
        <f t="shared" si="75"/>
        <v>3933.3095618098814</v>
      </c>
      <c r="J142" s="18">
        <f t="shared" si="75"/>
        <v>3633.1103073223881</v>
      </c>
      <c r="K142" s="18">
        <f t="shared" si="75"/>
        <v>2505.430927615344</v>
      </c>
      <c r="L142" s="41" t="s">
        <v>131</v>
      </c>
    </row>
    <row r="143" spans="1:22" s="53" customFormat="1" ht="20.100000000000001" hidden="1" customHeight="1" x14ac:dyDescent="0.25">
      <c r="A143" s="327" t="s">
        <v>936</v>
      </c>
      <c r="B143" s="321" t="s">
        <v>143</v>
      </c>
      <c r="C143" s="35">
        <v>3530.3546284494091</v>
      </c>
      <c r="D143" s="35">
        <v>5648.2318462500007</v>
      </c>
      <c r="E143" s="35">
        <v>539.82808068331133</v>
      </c>
      <c r="F143" s="35">
        <v>375.94251603153748</v>
      </c>
      <c r="G143" s="35">
        <v>879.34356898817339</v>
      </c>
      <c r="H143" s="35">
        <v>436.28741925098558</v>
      </c>
      <c r="I143" s="35">
        <v>1396.6182802233902</v>
      </c>
      <c r="J143" s="35">
        <v>1667.8209437582132</v>
      </c>
      <c r="K143" s="35">
        <v>385.69294710906701</v>
      </c>
      <c r="L143" s="26" t="s">
        <v>131</v>
      </c>
    </row>
    <row r="144" spans="1:22" s="53" customFormat="1" ht="20.100000000000001" customHeight="1" x14ac:dyDescent="0.25">
      <c r="A144" s="327"/>
      <c r="B144" s="322"/>
      <c r="C144" s="10">
        <f>C143/14.06*1.039*19.53</f>
        <v>5095.077603376104</v>
      </c>
      <c r="D144" s="10">
        <f t="shared" ref="D144:K144" si="76">D143/14.06*1.039*19.53</f>
        <v>8151.6398796298536</v>
      </c>
      <c r="E144" s="10">
        <f t="shared" si="76"/>
        <v>779.09055974104751</v>
      </c>
      <c r="F144" s="10">
        <f t="shared" si="76"/>
        <v>542.56767242401622</v>
      </c>
      <c r="G144" s="10">
        <f t="shared" si="76"/>
        <v>1269.0860255000175</v>
      </c>
      <c r="H144" s="10">
        <f t="shared" si="76"/>
        <v>629.65862991412848</v>
      </c>
      <c r="I144" s="10">
        <f t="shared" si="76"/>
        <v>2015.6271165192431</v>
      </c>
      <c r="J144" s="10">
        <f t="shared" si="76"/>
        <v>2407.0321628613242</v>
      </c>
      <c r="K144" s="10">
        <f t="shared" si="76"/>
        <v>556.6396873445691</v>
      </c>
      <c r="L144" s="15" t="s">
        <v>131</v>
      </c>
    </row>
    <row r="145" spans="1:12" s="51" customFormat="1" ht="20.100000000000001" customHeight="1" x14ac:dyDescent="0.25">
      <c r="A145" s="327"/>
      <c r="B145" s="322"/>
      <c r="C145" s="16">
        <f>C144*0.0214</f>
        <v>109.03466071224862</v>
      </c>
      <c r="D145" s="16">
        <f t="shared" ref="D145:K145" si="77">D144*0.0214</f>
        <v>174.44509342407886</v>
      </c>
      <c r="E145" s="16">
        <f t="shared" si="77"/>
        <v>16.672537978458415</v>
      </c>
      <c r="F145" s="16">
        <f t="shared" si="77"/>
        <v>11.610948189873946</v>
      </c>
      <c r="G145" s="16">
        <f t="shared" si="77"/>
        <v>27.158440945700374</v>
      </c>
      <c r="H145" s="16">
        <f t="shared" si="77"/>
        <v>13.474694680162349</v>
      </c>
      <c r="I145" s="16">
        <f t="shared" si="77"/>
        <v>43.134420293511802</v>
      </c>
      <c r="J145" s="16">
        <f t="shared" si="77"/>
        <v>51.510488285232334</v>
      </c>
      <c r="K145" s="16">
        <f t="shared" si="77"/>
        <v>11.912089309173778</v>
      </c>
      <c r="L145" s="31" t="s">
        <v>131</v>
      </c>
    </row>
    <row r="146" spans="1:12" s="51" customFormat="1" ht="20.100000000000001" hidden="1" customHeight="1" x14ac:dyDescent="0.25">
      <c r="A146" s="327"/>
      <c r="B146" s="322"/>
      <c r="C146" s="16">
        <f>29864/4338.3</f>
        <v>6.8838024110826819</v>
      </c>
      <c r="D146" s="16">
        <f>22172/1193</f>
        <v>18.585079631181895</v>
      </c>
      <c r="E146" s="16">
        <f>11968/4338.3</f>
        <v>2.7586842772514579</v>
      </c>
      <c r="F146" s="16">
        <f>60267/2/4338.3</f>
        <v>6.9459235184288772</v>
      </c>
      <c r="G146" s="16">
        <f>54435/4338.3</f>
        <v>12.547541663785353</v>
      </c>
      <c r="H146" s="16">
        <f>F146</f>
        <v>6.9459235184288772</v>
      </c>
      <c r="I146" s="16">
        <f>64156/4338.3</f>
        <v>14.788281123942557</v>
      </c>
      <c r="J146" s="16">
        <f>5344/4338.3</f>
        <v>1.2318189152432981</v>
      </c>
      <c r="K146" s="16">
        <f>J146</f>
        <v>1.2318189152432981</v>
      </c>
      <c r="L146" s="31" t="s">
        <v>131</v>
      </c>
    </row>
    <row r="147" spans="1:12" s="53" customFormat="1" ht="20.100000000000001" hidden="1" customHeight="1" thickBot="1" x14ac:dyDescent="0.3">
      <c r="A147" s="327"/>
      <c r="B147" s="322"/>
      <c r="C147" s="27">
        <f>150.382773031936*P4</f>
        <v>186.26370693321635</v>
      </c>
      <c r="D147" s="27">
        <f>127.825075568406*P4</f>
        <v>158.32380221724986</v>
      </c>
      <c r="E147" s="27">
        <f>100.254913917729*P4</f>
        <v>124.17547254977829</v>
      </c>
      <c r="F147" s="27">
        <f>75.1909843606256*P4</f>
        <v>93.131355358059395</v>
      </c>
      <c r="G147" s="27">
        <f>75.1909843606256*P4</f>
        <v>93.131355358059395</v>
      </c>
      <c r="H147" s="27">
        <f>75.1909843606256*P4</f>
        <v>93.131355358059395</v>
      </c>
      <c r="I147" s="28">
        <f>99.0017978709423*P4</f>
        <v>122.62336631190209</v>
      </c>
      <c r="J147" s="28">
        <f>122.812611381259*P4</f>
        <v>152.1153772657448</v>
      </c>
      <c r="K147" s="27">
        <f>52.6340912077803*P4</f>
        <v>65.192446859190341</v>
      </c>
      <c r="L147" s="29" t="s">
        <v>131</v>
      </c>
    </row>
    <row r="148" spans="1:12" s="53" customFormat="1" ht="20.100000000000001" customHeight="1" thickBot="1" x14ac:dyDescent="0.3">
      <c r="A148" s="327"/>
      <c r="B148" s="323"/>
      <c r="C148" s="18">
        <f>C147+C146</f>
        <v>193.14750934429904</v>
      </c>
      <c r="D148" s="18">
        <f t="shared" ref="D148:K148" si="78">D147+D146</f>
        <v>176.90888184843175</v>
      </c>
      <c r="E148" s="18">
        <f t="shared" si="78"/>
        <v>126.93415682702975</v>
      </c>
      <c r="F148" s="18">
        <f t="shared" si="78"/>
        <v>100.07727887648826</v>
      </c>
      <c r="G148" s="18">
        <f t="shared" si="78"/>
        <v>105.67889702184475</v>
      </c>
      <c r="H148" s="18">
        <f t="shared" si="78"/>
        <v>100.07727887648826</v>
      </c>
      <c r="I148" s="18">
        <f t="shared" si="78"/>
        <v>137.41164743584466</v>
      </c>
      <c r="J148" s="18">
        <f t="shared" si="78"/>
        <v>153.34719618098811</v>
      </c>
      <c r="K148" s="18">
        <f t="shared" si="78"/>
        <v>66.424265774433636</v>
      </c>
      <c r="L148" s="34" t="s">
        <v>131</v>
      </c>
    </row>
    <row r="149" spans="1:12" s="53" customFormat="1" ht="20.100000000000001" customHeight="1" thickBot="1" x14ac:dyDescent="0.3">
      <c r="A149" s="328"/>
      <c r="B149" s="265" t="s">
        <v>212</v>
      </c>
      <c r="C149" s="18">
        <f>SUM(C144:C147)</f>
        <v>5397.2597734326519</v>
      </c>
      <c r="D149" s="18">
        <f t="shared" ref="D149:K149" si="79">SUM(D144:D147)</f>
        <v>8502.9938549023645</v>
      </c>
      <c r="E149" s="18">
        <f t="shared" si="79"/>
        <v>922.69725454653565</v>
      </c>
      <c r="F149" s="18">
        <f t="shared" si="79"/>
        <v>654.25589949037851</v>
      </c>
      <c r="G149" s="18">
        <f t="shared" si="79"/>
        <v>1401.9233634675627</v>
      </c>
      <c r="H149" s="18">
        <f t="shared" si="79"/>
        <v>743.21060347077912</v>
      </c>
      <c r="I149" s="18">
        <f t="shared" si="79"/>
        <v>2196.1731842485992</v>
      </c>
      <c r="J149" s="18">
        <f t="shared" si="79"/>
        <v>2611.8898473275449</v>
      </c>
      <c r="K149" s="18">
        <f t="shared" si="79"/>
        <v>634.97604242817647</v>
      </c>
      <c r="L149" s="41" t="s">
        <v>131</v>
      </c>
    </row>
    <row r="150" spans="1:12" s="53" customFormat="1" ht="20.100000000000001" hidden="1" customHeight="1" thickBot="1" x14ac:dyDescent="0.3">
      <c r="A150" s="327" t="s">
        <v>937</v>
      </c>
      <c r="B150" s="321" t="s">
        <v>13</v>
      </c>
      <c r="C150" s="9">
        <v>6020.1017814812258</v>
      </c>
      <c r="D150" s="9">
        <v>6444.9449214223769</v>
      </c>
      <c r="E150" s="9">
        <v>577.75310075375137</v>
      </c>
      <c r="F150" s="9">
        <v>266.81425136574228</v>
      </c>
      <c r="G150" s="9">
        <v>471.4364525966393</v>
      </c>
      <c r="H150" s="9">
        <v>316.53186923449277</v>
      </c>
      <c r="I150" s="9">
        <v>1669.5873588963418</v>
      </c>
      <c r="J150" s="9">
        <v>2073.350430744762</v>
      </c>
      <c r="K150" s="9">
        <v>1392.6355401424523</v>
      </c>
      <c r="L150" s="20" t="s">
        <v>131</v>
      </c>
    </row>
    <row r="151" spans="1:12" s="53" customFormat="1" ht="20.100000000000001" customHeight="1" x14ac:dyDescent="0.25">
      <c r="A151" s="341"/>
      <c r="B151" s="322"/>
      <c r="C151" s="10">
        <f>C150/14.06*19.53*1.039</f>
        <v>8688.3299229181466</v>
      </c>
      <c r="D151" s="10">
        <f t="shared" ref="D151:K151" si="80">D150/14.06*19.53*1.039</f>
        <v>9301.4719426514093</v>
      </c>
      <c r="E151" s="10">
        <f t="shared" si="80"/>
        <v>833.82469857552439</v>
      </c>
      <c r="F151" s="10">
        <f t="shared" si="80"/>
        <v>385.07160313020569</v>
      </c>
      <c r="G151" s="10">
        <f t="shared" si="80"/>
        <v>680.38640981946276</v>
      </c>
      <c r="H151" s="10">
        <f t="shared" si="80"/>
        <v>456.82505227521193</v>
      </c>
      <c r="I151" s="10">
        <f t="shared" si="80"/>
        <v>2409.5814881149449</v>
      </c>
      <c r="J151" s="10">
        <f t="shared" si="80"/>
        <v>2992.3003367731549</v>
      </c>
      <c r="K151" s="10">
        <f t="shared" si="80"/>
        <v>2009.8791472860876</v>
      </c>
      <c r="L151" s="26" t="s">
        <v>131</v>
      </c>
    </row>
    <row r="152" spans="1:12" s="51" customFormat="1" ht="20.100000000000001" customHeight="1" x14ac:dyDescent="0.25">
      <c r="A152" s="341"/>
      <c r="B152" s="322"/>
      <c r="C152" s="16">
        <f>C151*0.0214</f>
        <v>185.93026035044832</v>
      </c>
      <c r="D152" s="16">
        <f t="shared" ref="D152:K152" si="81">D151*0.0214</f>
        <v>199.05149957274014</v>
      </c>
      <c r="E152" s="16">
        <f t="shared" si="81"/>
        <v>17.84384854951622</v>
      </c>
      <c r="F152" s="16">
        <f t="shared" si="81"/>
        <v>8.2405323069864007</v>
      </c>
      <c r="G152" s="16">
        <f t="shared" si="81"/>
        <v>14.560269170136502</v>
      </c>
      <c r="H152" s="16">
        <f t="shared" si="81"/>
        <v>9.7760561186895352</v>
      </c>
      <c r="I152" s="16">
        <f t="shared" si="81"/>
        <v>51.565043845659822</v>
      </c>
      <c r="J152" s="16">
        <f t="shared" si="81"/>
        <v>64.035227206945507</v>
      </c>
      <c r="K152" s="16">
        <f t="shared" si="81"/>
        <v>43.011413751922269</v>
      </c>
      <c r="L152" s="31" t="s">
        <v>131</v>
      </c>
    </row>
    <row r="153" spans="1:12" s="51" customFormat="1" ht="20.100000000000001" hidden="1" customHeight="1" x14ac:dyDescent="0.25">
      <c r="A153" s="341"/>
      <c r="B153" s="322"/>
      <c r="C153" s="16">
        <f>29864/4338.3</f>
        <v>6.8838024110826819</v>
      </c>
      <c r="D153" s="16">
        <f>22172/1085</f>
        <v>20.435023041474654</v>
      </c>
      <c r="E153" s="16">
        <f>11968/4338.3</f>
        <v>2.7586842772514579</v>
      </c>
      <c r="F153" s="16">
        <f>60267/2/4338.3</f>
        <v>6.9459235184288772</v>
      </c>
      <c r="G153" s="16">
        <f>54435/4338.3</f>
        <v>12.547541663785353</v>
      </c>
      <c r="H153" s="16">
        <f>F153</f>
        <v>6.9459235184288772</v>
      </c>
      <c r="I153" s="16">
        <f>64156/4338.3</f>
        <v>14.788281123942557</v>
      </c>
      <c r="J153" s="16">
        <f>5344/4338.3</f>
        <v>1.2318189152432981</v>
      </c>
      <c r="K153" s="16">
        <f>J153</f>
        <v>1.2318189152432981</v>
      </c>
      <c r="L153" s="31" t="s">
        <v>131</v>
      </c>
    </row>
    <row r="154" spans="1:12" s="53" customFormat="1" ht="20.100000000000001" hidden="1" customHeight="1" thickBot="1" x14ac:dyDescent="0.3">
      <c r="A154" s="341"/>
      <c r="B154" s="322"/>
      <c r="C154" s="18">
        <f>(1/4338.3)*236314.62*1.2*P4</f>
        <v>80.962220164973658</v>
      </c>
      <c r="D154" s="18">
        <f>(1/4338.3)*82709.76*1.2*P4</f>
        <v>28.336654748284854</v>
      </c>
      <c r="E154" s="18">
        <f>(1/4338.3)*157543.08*1.2*P4</f>
        <v>53.974813443315767</v>
      </c>
      <c r="F154" s="18">
        <f>(1/4338.3)*118156.8*1.2*P4</f>
        <v>40.480935354692654</v>
      </c>
      <c r="G154" s="19">
        <f>(1/4338.3)*118156.8*1.2*P4</f>
        <v>40.480935354692654</v>
      </c>
      <c r="H154" s="19">
        <f>(1/4338.3)*118156.8*1.2*P4</f>
        <v>40.480935354692654</v>
      </c>
      <c r="I154" s="19">
        <f>(1/4338.3)*155573.46*1.2*P4</f>
        <v>53.300014702208109</v>
      </c>
      <c r="J154" s="19">
        <f>(1/4338.3)*192990.12*1.2*P4</f>
        <v>66.119094049723557</v>
      </c>
      <c r="K154" s="18">
        <f>(1/4338.3)*82709.76*1.2*P4</f>
        <v>28.336654748284854</v>
      </c>
      <c r="L154" s="34" t="s">
        <v>131</v>
      </c>
    </row>
    <row r="155" spans="1:12" s="53" customFormat="1" ht="20.100000000000001" customHeight="1" thickBot="1" x14ac:dyDescent="0.3">
      <c r="A155" s="341"/>
      <c r="B155" s="323"/>
      <c r="C155" s="18">
        <f>C154+C153</f>
        <v>87.846022576056342</v>
      </c>
      <c r="D155" s="18">
        <f t="shared" ref="D155:K155" si="82">D154+D153</f>
        <v>48.771677789759508</v>
      </c>
      <c r="E155" s="18">
        <f t="shared" si="82"/>
        <v>56.733497720567229</v>
      </c>
      <c r="F155" s="18">
        <f t="shared" si="82"/>
        <v>47.426858873121532</v>
      </c>
      <c r="G155" s="18">
        <f t="shared" si="82"/>
        <v>53.028477018478007</v>
      </c>
      <c r="H155" s="18">
        <f t="shared" si="82"/>
        <v>47.426858873121532</v>
      </c>
      <c r="I155" s="18">
        <f t="shared" si="82"/>
        <v>68.08829582615067</v>
      </c>
      <c r="J155" s="18">
        <f t="shared" si="82"/>
        <v>67.350912964966852</v>
      </c>
      <c r="K155" s="18">
        <f t="shared" si="82"/>
        <v>29.568473663528152</v>
      </c>
      <c r="L155" s="34" t="s">
        <v>131</v>
      </c>
    </row>
    <row r="156" spans="1:12" s="53" customFormat="1" ht="20.100000000000001" customHeight="1" thickBot="1" x14ac:dyDescent="0.3">
      <c r="A156" s="345"/>
      <c r="B156" s="265" t="s">
        <v>212</v>
      </c>
      <c r="C156" s="18">
        <f>SUM(C151:C154)</f>
        <v>8962.1062058446514</v>
      </c>
      <c r="D156" s="18">
        <f t="shared" ref="D156:K156" si="83">SUM(D150:D154)</f>
        <v>15994.240041436287</v>
      </c>
      <c r="E156" s="18">
        <f t="shared" si="83"/>
        <v>1486.1551455993592</v>
      </c>
      <c r="F156" s="18">
        <f t="shared" si="83"/>
        <v>707.55324567605601</v>
      </c>
      <c r="G156" s="18">
        <f t="shared" si="83"/>
        <v>1219.4116086047165</v>
      </c>
      <c r="H156" s="18">
        <f t="shared" si="83"/>
        <v>830.55983650151586</v>
      </c>
      <c r="I156" s="18">
        <f t="shared" si="83"/>
        <v>4198.8221866830972</v>
      </c>
      <c r="J156" s="18">
        <v>1988.98</v>
      </c>
      <c r="K156" s="18">
        <f t="shared" si="83"/>
        <v>3475.0945748439904</v>
      </c>
      <c r="L156" s="34" t="s">
        <v>131</v>
      </c>
    </row>
    <row r="157" spans="1:12" s="53" customFormat="1" ht="20.100000000000001" hidden="1" customHeight="1" thickBot="1" x14ac:dyDescent="0.3">
      <c r="A157" s="327" t="s">
        <v>938</v>
      </c>
      <c r="B157" s="321" t="s">
        <v>14</v>
      </c>
      <c r="C157" s="9">
        <v>5407.3183634777552</v>
      </c>
      <c r="D157" s="9">
        <v>6805.5793968750013</v>
      </c>
      <c r="E157" s="9">
        <v>750.540985751672</v>
      </c>
      <c r="F157" s="9">
        <v>653.21949578365809</v>
      </c>
      <c r="G157" s="9">
        <v>935.50719133469011</v>
      </c>
      <c r="H157" s="9">
        <v>389.48142570514682</v>
      </c>
      <c r="I157" s="9">
        <v>3417.5358258214592</v>
      </c>
      <c r="J157" s="9">
        <v>1217.2853274207619</v>
      </c>
      <c r="K157" s="9">
        <v>1633.7799552195406</v>
      </c>
      <c r="L157" s="20" t="s">
        <v>131</v>
      </c>
    </row>
    <row r="158" spans="1:12" s="53" customFormat="1" ht="20.100000000000001" customHeight="1" x14ac:dyDescent="0.25">
      <c r="A158" s="327"/>
      <c r="B158" s="322"/>
      <c r="C158" s="10">
        <f>C157/14.06*19.53*1.039</f>
        <v>7803.9487778542425</v>
      </c>
      <c r="D158" s="10">
        <f t="shared" ref="D158:K158" si="84">D157/14.06*19.53*1.039</f>
        <v>9821.9467482351738</v>
      </c>
      <c r="E158" s="10">
        <f t="shared" si="84"/>
        <v>1083.1955906363889</v>
      </c>
      <c r="F158" s="10">
        <f t="shared" si="84"/>
        <v>942.7392920347354</v>
      </c>
      <c r="G158" s="10">
        <f t="shared" si="84"/>
        <v>1350.1424757603406</v>
      </c>
      <c r="H158" s="10">
        <f t="shared" si="84"/>
        <v>562.1072945617608</v>
      </c>
      <c r="I158" s="10">
        <f t="shared" si="84"/>
        <v>4932.2552767245033</v>
      </c>
      <c r="J158" s="10">
        <f t="shared" si="84"/>
        <v>1756.8102531908999</v>
      </c>
      <c r="K158" s="10">
        <f t="shared" si="84"/>
        <v>2357.903535130135</v>
      </c>
      <c r="L158" s="42" t="s">
        <v>131</v>
      </c>
    </row>
    <row r="159" spans="1:12" s="51" customFormat="1" ht="20.100000000000001" customHeight="1" x14ac:dyDescent="0.25">
      <c r="A159" s="327"/>
      <c r="B159" s="322"/>
      <c r="C159" s="16">
        <f>C158*0.0214</f>
        <v>167.00450384608078</v>
      </c>
      <c r="D159" s="16">
        <f t="shared" ref="D159:K159" si="85">D158*0.0214</f>
        <v>210.18966041223271</v>
      </c>
      <c r="E159" s="16">
        <f t="shared" si="85"/>
        <v>23.180385639618724</v>
      </c>
      <c r="F159" s="16">
        <f t="shared" si="85"/>
        <v>20.174620849543338</v>
      </c>
      <c r="G159" s="16">
        <f t="shared" si="85"/>
        <v>28.893048981271289</v>
      </c>
      <c r="H159" s="16">
        <f t="shared" si="85"/>
        <v>12.029096103621681</v>
      </c>
      <c r="I159" s="16">
        <f t="shared" si="85"/>
        <v>105.55026292190436</v>
      </c>
      <c r="J159" s="16">
        <f t="shared" si="85"/>
        <v>37.595739418285255</v>
      </c>
      <c r="K159" s="16">
        <f t="shared" si="85"/>
        <v>50.459135651784884</v>
      </c>
      <c r="L159" s="31" t="s">
        <v>131</v>
      </c>
    </row>
    <row r="160" spans="1:12" s="51" customFormat="1" ht="20.100000000000001" hidden="1" customHeight="1" x14ac:dyDescent="0.25">
      <c r="A160" s="327"/>
      <c r="B160" s="322"/>
      <c r="C160" s="16">
        <f>13841/2407.3</f>
        <v>5.7495949819299623</v>
      </c>
      <c r="D160" s="16">
        <f>10276/530</f>
        <v>19.388679245283019</v>
      </c>
      <c r="E160" s="16">
        <f>6638/2407.3</f>
        <v>2.7574461014414489</v>
      </c>
      <c r="F160" s="16">
        <f>25888/2/2407.3</f>
        <v>5.3769783574959495</v>
      </c>
      <c r="G160" s="16">
        <f>23731/2407.3</f>
        <v>9.8579321231254919</v>
      </c>
      <c r="H160" s="16">
        <f>F160</f>
        <v>5.3769783574959495</v>
      </c>
      <c r="I160" s="16">
        <f>26967/2407.3</f>
        <v>11.20217671249948</v>
      </c>
      <c r="J160" s="16">
        <f>2475/2407.3</f>
        <v>1.0281227931707722</v>
      </c>
      <c r="K160" s="16">
        <f>J160</f>
        <v>1.0281227931707722</v>
      </c>
      <c r="L160" s="31" t="s">
        <v>131</v>
      </c>
    </row>
    <row r="161" spans="1:12" s="53" customFormat="1" ht="20.100000000000001" hidden="1" customHeight="1" thickBot="1" x14ac:dyDescent="0.3">
      <c r="A161" s="327"/>
      <c r="B161" s="322"/>
      <c r="C161" s="18">
        <f>(1/2407.3)*262082*1.2*P4</f>
        <v>161.81485091705707</v>
      </c>
      <c r="D161" s="18">
        <f>(1/2407.3)*227225.4*1.2*P4</f>
        <v>140.29366467582153</v>
      </c>
      <c r="E161" s="18">
        <f>(1/2407.3)*178216.44*1.2*P4</f>
        <v>110.03451846967226</v>
      </c>
      <c r="F161" s="18">
        <f>(1/2407.3)*133661.82*1.2*P4</f>
        <v>82.525573967699117</v>
      </c>
      <c r="G161" s="19">
        <f>(1/2407.3)*133661.82*1.2*P4</f>
        <v>82.525573967699117</v>
      </c>
      <c r="H161" s="19">
        <f>(1/2407.3)*133661.82*1.2*P4</f>
        <v>82.525573967699117</v>
      </c>
      <c r="I161" s="19">
        <f>(1/2407.3)*175988.76*1.2*P4</f>
        <v>108.65910273302912</v>
      </c>
      <c r="J161" s="19">
        <f>(1/2407.3)*218314.68*1.2*P4</f>
        <v>134.79200172924894</v>
      </c>
      <c r="K161" s="18">
        <f>(1/2407.3)*93563.58*1.2*P4</f>
        <v>57.768090708122436</v>
      </c>
      <c r="L161" s="29" t="s">
        <v>131</v>
      </c>
    </row>
    <row r="162" spans="1:12" s="53" customFormat="1" ht="20.100000000000001" customHeight="1" thickBot="1" x14ac:dyDescent="0.3">
      <c r="A162" s="327"/>
      <c r="B162" s="323"/>
      <c r="C162" s="18">
        <f>C161+C160</f>
        <v>167.56444589898703</v>
      </c>
      <c r="D162" s="18">
        <f t="shared" ref="D162:K162" si="86">D161+D160</f>
        <v>159.68234392110455</v>
      </c>
      <c r="E162" s="18">
        <f t="shared" si="86"/>
        <v>112.79196457111371</v>
      </c>
      <c r="F162" s="18">
        <f t="shared" si="86"/>
        <v>87.90255232519506</v>
      </c>
      <c r="G162" s="18">
        <f t="shared" si="86"/>
        <v>92.383506090824611</v>
      </c>
      <c r="H162" s="18">
        <f t="shared" si="86"/>
        <v>87.90255232519506</v>
      </c>
      <c r="I162" s="18">
        <f t="shared" si="86"/>
        <v>119.8612794455286</v>
      </c>
      <c r="J162" s="18">
        <f t="shared" si="86"/>
        <v>135.82012452241972</v>
      </c>
      <c r="K162" s="18">
        <f t="shared" si="86"/>
        <v>58.796213501293209</v>
      </c>
      <c r="L162" s="34" t="s">
        <v>131</v>
      </c>
    </row>
    <row r="163" spans="1:12" s="53" customFormat="1" ht="20.100000000000001" customHeight="1" thickBot="1" x14ac:dyDescent="0.3">
      <c r="A163" s="328"/>
      <c r="B163" s="265" t="s">
        <v>212</v>
      </c>
      <c r="C163" s="36">
        <f>SUM(C158:C161)</f>
        <v>8138.517727599311</v>
      </c>
      <c r="D163" s="36">
        <f t="shared" ref="D163:K163" si="87">SUM(D158:D161)</f>
        <v>10191.81875256851</v>
      </c>
      <c r="E163" s="36">
        <f t="shared" si="87"/>
        <v>1219.1679408471214</v>
      </c>
      <c r="F163" s="36">
        <f t="shared" si="87"/>
        <v>1050.8164652094738</v>
      </c>
      <c r="G163" s="36">
        <f t="shared" si="87"/>
        <v>1471.4190308324364</v>
      </c>
      <c r="H163" s="36">
        <f t="shared" si="87"/>
        <v>662.03894299057754</v>
      </c>
      <c r="I163" s="36">
        <f t="shared" si="87"/>
        <v>5157.6668190919363</v>
      </c>
      <c r="J163" s="36">
        <f t="shared" si="87"/>
        <v>1930.226117131605</v>
      </c>
      <c r="K163" s="36">
        <f t="shared" si="87"/>
        <v>2467.1588842832134</v>
      </c>
      <c r="L163" s="34" t="s">
        <v>131</v>
      </c>
    </row>
    <row r="164" spans="1:12" s="53" customFormat="1" ht="20.100000000000001" hidden="1" customHeight="1" thickBot="1" x14ac:dyDescent="0.3">
      <c r="A164" s="327" t="s">
        <v>939</v>
      </c>
      <c r="B164" s="321" t="s">
        <v>15</v>
      </c>
      <c r="C164" s="9">
        <v>5935.2140894503236</v>
      </c>
      <c r="D164" s="9">
        <v>6615.3829039772727</v>
      </c>
      <c r="E164" s="9">
        <v>883.87733526800957</v>
      </c>
      <c r="F164" s="9">
        <v>729.00182724479339</v>
      </c>
      <c r="G164" s="9">
        <v>1066.534428269588</v>
      </c>
      <c r="H164" s="9">
        <v>403.44711539774664</v>
      </c>
      <c r="I164" s="9">
        <v>3856.9789409354726</v>
      </c>
      <c r="J164" s="9">
        <v>2143.967898600205</v>
      </c>
      <c r="K164" s="9">
        <v>2001.0088463639465</v>
      </c>
      <c r="L164" s="20" t="s">
        <v>131</v>
      </c>
    </row>
    <row r="165" spans="1:12" s="53" customFormat="1" ht="20.100000000000001" customHeight="1" x14ac:dyDescent="0.25">
      <c r="A165" s="341"/>
      <c r="B165" s="322"/>
      <c r="C165" s="10">
        <f>C164/14.06*19.53*1.039</f>
        <v>8565.8183273454069</v>
      </c>
      <c r="D165" s="10">
        <f t="shared" ref="D165:K165" si="88">D164/14.06*19.53*1.039</f>
        <v>9547.4514090432767</v>
      </c>
      <c r="E165" s="10">
        <f t="shared" si="88"/>
        <v>1275.6292466385357</v>
      </c>
      <c r="F165" s="10">
        <f t="shared" si="88"/>
        <v>1052.1098511983184</v>
      </c>
      <c r="G165" s="10">
        <f t="shared" si="88"/>
        <v>1539.2435748282469</v>
      </c>
      <c r="H165" s="10">
        <f t="shared" si="88"/>
        <v>582.26285406137924</v>
      </c>
      <c r="I165" s="10">
        <f t="shared" si="88"/>
        <v>5566.4682693038467</v>
      </c>
      <c r="J165" s="10">
        <f t="shared" si="88"/>
        <v>3094.2168626592329</v>
      </c>
      <c r="K165" s="10">
        <f t="shared" si="88"/>
        <v>2887.8955318277312</v>
      </c>
      <c r="L165" s="26" t="s">
        <v>131</v>
      </c>
    </row>
    <row r="166" spans="1:12" s="51" customFormat="1" ht="20.100000000000001" customHeight="1" x14ac:dyDescent="0.25">
      <c r="A166" s="341"/>
      <c r="B166" s="322"/>
      <c r="C166" s="16">
        <f>C165*0.0214</f>
        <v>183.3085122051917</v>
      </c>
      <c r="D166" s="16">
        <f t="shared" ref="D166:K166" si="89">D165*0.0214</f>
        <v>204.31546015352612</v>
      </c>
      <c r="E166" s="16">
        <f t="shared" si="89"/>
        <v>27.298465878064665</v>
      </c>
      <c r="F166" s="16">
        <f t="shared" si="89"/>
        <v>22.515150815644013</v>
      </c>
      <c r="G166" s="16">
        <f t="shared" si="89"/>
        <v>32.939812501324482</v>
      </c>
      <c r="H166" s="16">
        <f t="shared" si="89"/>
        <v>12.460425076913515</v>
      </c>
      <c r="I166" s="16">
        <f t="shared" si="89"/>
        <v>119.12242096310231</v>
      </c>
      <c r="J166" s="16">
        <f t="shared" si="89"/>
        <v>66.216240860907575</v>
      </c>
      <c r="K166" s="16">
        <f t="shared" si="89"/>
        <v>61.800964381113445</v>
      </c>
      <c r="L166" s="31" t="s">
        <v>131</v>
      </c>
    </row>
    <row r="167" spans="1:12" s="51" customFormat="1" ht="20.100000000000001" hidden="1" customHeight="1" x14ac:dyDescent="0.25">
      <c r="A167" s="341"/>
      <c r="B167" s="322"/>
      <c r="C167" s="16">
        <f>11789/2050.3</f>
        <v>5.7498902599619566</v>
      </c>
      <c r="D167" s="16">
        <f>8752/410</f>
        <v>21.346341463414635</v>
      </c>
      <c r="E167" s="16">
        <f>5653/2050.3</f>
        <v>2.7571574891479291</v>
      </c>
      <c r="F167" s="16">
        <f>12862/2/2050.3</f>
        <v>3.13661415402624</v>
      </c>
      <c r="G167" s="16">
        <f>9187/2050.3</f>
        <v>4.4808076866799977</v>
      </c>
      <c r="H167" s="16">
        <f>F167</f>
        <v>3.13661415402624</v>
      </c>
      <c r="I167" s="16">
        <f>22969/2050.3</f>
        <v>11.202750816953616</v>
      </c>
      <c r="J167" s="16">
        <f>2108/2050.3</f>
        <v>1.0281422230893038</v>
      </c>
      <c r="K167" s="16">
        <f>J167</f>
        <v>1.0281422230893038</v>
      </c>
      <c r="L167" s="31" t="s">
        <v>131</v>
      </c>
    </row>
    <row r="168" spans="1:12" s="53" customFormat="1" ht="20.100000000000001" hidden="1" customHeight="1" thickBot="1" x14ac:dyDescent="0.3">
      <c r="A168" s="341"/>
      <c r="B168" s="322"/>
      <c r="C168" s="43">
        <f>(1/2050.3)*261543.3*1.2*P4</f>
        <v>189.59967406222961</v>
      </c>
      <c r="D168" s="27">
        <f>(1/2050.3)*91539.9*1.2*P4</f>
        <v>66.359701065517996</v>
      </c>
      <c r="E168" s="27">
        <f>(1/2050.3)*174362.88*1.2*P4</f>
        <v>126.40027565818608</v>
      </c>
      <c r="F168" s="27">
        <f>(1/2050.3)*130772.16*1.2*P4</f>
        <v>94.800206743639563</v>
      </c>
      <c r="G168" s="27">
        <f>(1/2050.3)*130772.16*1.2*P4</f>
        <v>94.800206743639563</v>
      </c>
      <c r="H168" s="28">
        <f>(1/2050.3)*130772.16*1.2*P4</f>
        <v>94.800206743639563</v>
      </c>
      <c r="I168" s="28">
        <f>(1/2050.3)*172183.14*1.2*P4</f>
        <v>124.82012432744887</v>
      </c>
      <c r="J168" s="28">
        <f>(1/2050.3)*213594.12*1.2*P4</f>
        <v>154.84004191125814</v>
      </c>
      <c r="K168" s="28">
        <f>(1/2050.3)*91539.9*1.2*P4</f>
        <v>66.359701065517996</v>
      </c>
      <c r="L168" s="44" t="s">
        <v>131</v>
      </c>
    </row>
    <row r="169" spans="1:12" s="53" customFormat="1" ht="20.100000000000001" customHeight="1" thickBot="1" x14ac:dyDescent="0.3">
      <c r="A169" s="341"/>
      <c r="B169" s="323"/>
      <c r="C169" s="64">
        <f>C168+C167</f>
        <v>195.34956432219155</v>
      </c>
      <c r="D169" s="64">
        <f t="shared" ref="D169:K169" si="90">D168+D167</f>
        <v>87.706042528932628</v>
      </c>
      <c r="E169" s="64">
        <f t="shared" si="90"/>
        <v>129.15743314733402</v>
      </c>
      <c r="F169" s="64">
        <f t="shared" si="90"/>
        <v>97.936820897665797</v>
      </c>
      <c r="G169" s="64">
        <f t="shared" si="90"/>
        <v>99.281014430319559</v>
      </c>
      <c r="H169" s="64">
        <f t="shared" si="90"/>
        <v>97.936820897665797</v>
      </c>
      <c r="I169" s="64">
        <f t="shared" si="90"/>
        <v>136.02287514440249</v>
      </c>
      <c r="J169" s="64">
        <f t="shared" si="90"/>
        <v>155.86818413434744</v>
      </c>
      <c r="K169" s="64">
        <f t="shared" si="90"/>
        <v>67.3878432886073</v>
      </c>
      <c r="L169" s="41" t="s">
        <v>131</v>
      </c>
    </row>
    <row r="170" spans="1:12" s="53" customFormat="1" ht="20.100000000000001" customHeight="1" thickBot="1" x14ac:dyDescent="0.3">
      <c r="A170" s="345"/>
      <c r="B170" s="265" t="s">
        <v>212</v>
      </c>
      <c r="C170" s="36">
        <f>SUM(C165:C168)</f>
        <v>8944.4764038727917</v>
      </c>
      <c r="D170" s="36">
        <f t="shared" ref="D170:K170" si="91">SUM(D165:D168)</f>
        <v>9839.4729117257357</v>
      </c>
      <c r="E170" s="36">
        <f t="shared" si="91"/>
        <v>1432.0851456639343</v>
      </c>
      <c r="F170" s="36">
        <f t="shared" si="91"/>
        <v>1172.5618229116285</v>
      </c>
      <c r="G170" s="36">
        <f t="shared" si="91"/>
        <v>1671.464401759891</v>
      </c>
      <c r="H170" s="36">
        <f t="shared" si="91"/>
        <v>692.66010003595864</v>
      </c>
      <c r="I170" s="36">
        <f t="shared" si="91"/>
        <v>5821.6135654113523</v>
      </c>
      <c r="J170" s="36">
        <f t="shared" si="91"/>
        <v>3316.3012876544876</v>
      </c>
      <c r="K170" s="36">
        <f t="shared" si="91"/>
        <v>3017.0843394974518</v>
      </c>
      <c r="L170" s="41" t="s">
        <v>131</v>
      </c>
    </row>
    <row r="171" spans="1:12" s="53" customFormat="1" ht="20.100000000000001" hidden="1" customHeight="1" thickBot="1" x14ac:dyDescent="0.3">
      <c r="A171" s="327" t="s">
        <v>940</v>
      </c>
      <c r="B171" s="321" t="s">
        <v>144</v>
      </c>
      <c r="C171" s="9">
        <v>11151.572526315789</v>
      </c>
      <c r="D171" s="9">
        <v>7941.1828636363643</v>
      </c>
      <c r="E171" s="9">
        <v>1144.4915115789474</v>
      </c>
      <c r="F171" s="9">
        <v>646.66212947368422</v>
      </c>
      <c r="G171" s="9">
        <v>2087.0935326315794</v>
      </c>
      <c r="H171" s="9">
        <v>364.20510000000002</v>
      </c>
      <c r="I171" s="9">
        <v>4344.8099431578939</v>
      </c>
      <c r="J171" s="9">
        <v>3747.5565915789475</v>
      </c>
      <c r="K171" s="9" t="s">
        <v>131</v>
      </c>
      <c r="L171" s="20" t="s">
        <v>131</v>
      </c>
    </row>
    <row r="172" spans="1:12" s="53" customFormat="1" ht="20.100000000000001" customHeight="1" x14ac:dyDescent="0.25">
      <c r="A172" s="327"/>
      <c r="B172" s="322"/>
      <c r="C172" s="10">
        <f>C171/12.79*19.53*1.039</f>
        <v>17692.261898754212</v>
      </c>
      <c r="D172" s="10">
        <f t="shared" ref="D172:J172" si="92">D171/12.79*19.53*1.039</f>
        <v>12598.894611302903</v>
      </c>
      <c r="E172" s="10">
        <f t="shared" si="92"/>
        <v>1815.7657600282394</v>
      </c>
      <c r="F172" s="10">
        <f t="shared" si="92"/>
        <v>1025.9464060029143</v>
      </c>
      <c r="G172" s="10">
        <f t="shared" si="92"/>
        <v>3311.2285553787524</v>
      </c>
      <c r="H172" s="10">
        <f t="shared" si="92"/>
        <v>577.82093053299457</v>
      </c>
      <c r="I172" s="10">
        <f t="shared" si="92"/>
        <v>6893.1547755495494</v>
      </c>
      <c r="J172" s="10">
        <f t="shared" si="92"/>
        <v>5945.5966898080369</v>
      </c>
      <c r="K172" s="10" t="s">
        <v>131</v>
      </c>
      <c r="L172" s="26" t="s">
        <v>131</v>
      </c>
    </row>
    <row r="173" spans="1:12" s="51" customFormat="1" ht="20.100000000000001" customHeight="1" x14ac:dyDescent="0.25">
      <c r="A173" s="327"/>
      <c r="B173" s="322"/>
      <c r="C173" s="16">
        <f>C172*0.0214</f>
        <v>378.61440463334009</v>
      </c>
      <c r="D173" s="16">
        <f t="shared" ref="D173:J173" si="93">D172*0.0214</f>
        <v>269.61634468188214</v>
      </c>
      <c r="E173" s="16">
        <f t="shared" si="93"/>
        <v>38.85738726460432</v>
      </c>
      <c r="F173" s="16">
        <f t="shared" si="93"/>
        <v>21.955253088462364</v>
      </c>
      <c r="G173" s="16">
        <f t="shared" si="93"/>
        <v>70.860291085105302</v>
      </c>
      <c r="H173" s="16">
        <f t="shared" si="93"/>
        <v>12.365367913406082</v>
      </c>
      <c r="I173" s="16">
        <f t="shared" si="93"/>
        <v>147.51351219676036</v>
      </c>
      <c r="J173" s="16">
        <f t="shared" si="93"/>
        <v>127.23576916189198</v>
      </c>
      <c r="K173" s="16" t="s">
        <v>131</v>
      </c>
      <c r="L173" s="31" t="s">
        <v>131</v>
      </c>
    </row>
    <row r="174" spans="1:12" s="51" customFormat="1" ht="20.100000000000001" hidden="1" customHeight="1" x14ac:dyDescent="0.25">
      <c r="A174" s="327"/>
      <c r="B174" s="322"/>
      <c r="C174" s="16">
        <f>2216/244.2</f>
        <v>9.0745290745290745</v>
      </c>
      <c r="D174" s="16">
        <f>1645/244.2</f>
        <v>6.7362817362817369</v>
      </c>
      <c r="E174" s="16">
        <f>673/244.2</f>
        <v>2.7559377559377563</v>
      </c>
      <c r="F174" s="16">
        <f>772/2/244.2</f>
        <v>1.5806715806715808</v>
      </c>
      <c r="G174" s="16">
        <f>662/244.2</f>
        <v>2.7108927108927112</v>
      </c>
      <c r="H174" s="16">
        <f>F174</f>
        <v>1.5806715806715808</v>
      </c>
      <c r="I174" s="16">
        <f>993/244.2</f>
        <v>4.0663390663390668</v>
      </c>
      <c r="J174" s="16">
        <f>396/244.2</f>
        <v>1.6216216216216217</v>
      </c>
      <c r="K174" s="16" t="s">
        <v>131</v>
      </c>
      <c r="L174" s="31" t="s">
        <v>131</v>
      </c>
    </row>
    <row r="175" spans="1:12" s="53" customFormat="1" ht="20.100000000000001" hidden="1" customHeight="1" thickBot="1" x14ac:dyDescent="0.3">
      <c r="A175" s="327"/>
      <c r="B175" s="322"/>
      <c r="C175" s="43">
        <f>102.051873963516*P4</f>
        <v>126.40118253364784</v>
      </c>
      <c r="D175" s="27">
        <f>55.6*P4</f>
        <v>68.866013684210515</v>
      </c>
      <c r="E175" s="27">
        <f>68.0345826423438*P4</f>
        <v>84.267455022431662</v>
      </c>
      <c r="F175" s="27">
        <f>51.0259369817579*P4</f>
        <v>63.2005912668238</v>
      </c>
      <c r="G175" s="27">
        <f>51.03*P4</f>
        <v>63.205623710526311</v>
      </c>
      <c r="H175" s="28">
        <f>51.0259369817579*P4</f>
        <v>63.2005912668238</v>
      </c>
      <c r="I175" s="28">
        <f>67.1843007186291*P4</f>
        <v>83.214298069302629</v>
      </c>
      <c r="J175" s="28">
        <f>83.3426644555003*P4</f>
        <v>103.22800487178147</v>
      </c>
      <c r="K175" s="10" t="s">
        <v>131</v>
      </c>
      <c r="L175" s="44" t="s">
        <v>131</v>
      </c>
    </row>
    <row r="176" spans="1:12" s="53" customFormat="1" ht="20.100000000000001" customHeight="1" thickBot="1" x14ac:dyDescent="0.3">
      <c r="A176" s="327"/>
      <c r="B176" s="323"/>
      <c r="C176" s="64">
        <f>C175+C174</f>
        <v>135.47571160817691</v>
      </c>
      <c r="D176" s="64">
        <f t="shared" ref="D176:J176" si="94">D175+D174</f>
        <v>75.602295420492254</v>
      </c>
      <c r="E176" s="64">
        <f t="shared" si="94"/>
        <v>87.023392778369413</v>
      </c>
      <c r="F176" s="64">
        <f t="shared" si="94"/>
        <v>64.781262847495384</v>
      </c>
      <c r="G176" s="64">
        <f t="shared" si="94"/>
        <v>65.916516421419018</v>
      </c>
      <c r="H176" s="64">
        <f t="shared" si="94"/>
        <v>64.781262847495384</v>
      </c>
      <c r="I176" s="64">
        <f t="shared" si="94"/>
        <v>87.280637135641697</v>
      </c>
      <c r="J176" s="64">
        <f t="shared" si="94"/>
        <v>104.84962649340309</v>
      </c>
      <c r="K176" s="9" t="s">
        <v>131</v>
      </c>
      <c r="L176" s="41" t="s">
        <v>131</v>
      </c>
    </row>
    <row r="177" spans="1:12" s="53" customFormat="1" ht="20.100000000000001" customHeight="1" thickBot="1" x14ac:dyDescent="0.3">
      <c r="A177" s="328"/>
      <c r="B177" s="265" t="s">
        <v>212</v>
      </c>
      <c r="C177" s="36">
        <f>SUM(C172:C175)</f>
        <v>18206.352014995729</v>
      </c>
      <c r="D177" s="36">
        <f t="shared" ref="D177:J177" si="95">SUM(D172:D175)</f>
        <v>12944.113251405277</v>
      </c>
      <c r="E177" s="36">
        <f t="shared" si="95"/>
        <v>1941.6465400712132</v>
      </c>
      <c r="F177" s="36">
        <f t="shared" si="95"/>
        <v>1112.6829219388719</v>
      </c>
      <c r="G177" s="36">
        <f t="shared" si="95"/>
        <v>3448.0053628852766</v>
      </c>
      <c r="H177" s="36">
        <f t="shared" si="95"/>
        <v>654.9675612938961</v>
      </c>
      <c r="I177" s="36">
        <f t="shared" si="95"/>
        <v>7127.9489248819518</v>
      </c>
      <c r="J177" s="36">
        <f t="shared" si="95"/>
        <v>6177.6820854633315</v>
      </c>
      <c r="K177" s="36" t="s">
        <v>131</v>
      </c>
      <c r="L177" s="41" t="s">
        <v>131</v>
      </c>
    </row>
    <row r="178" spans="1:12" s="53" customFormat="1" ht="20.100000000000001" hidden="1" customHeight="1" thickBot="1" x14ac:dyDescent="0.3">
      <c r="A178" s="327" t="s">
        <v>941</v>
      </c>
      <c r="B178" s="321" t="s">
        <v>16</v>
      </c>
      <c r="C178" s="9">
        <v>10609.904137651822</v>
      </c>
      <c r="D178" s="9">
        <v>7748.5279144749511</v>
      </c>
      <c r="E178" s="9">
        <v>1086.4015964751679</v>
      </c>
      <c r="F178" s="9">
        <v>613.21889913369841</v>
      </c>
      <c r="G178" s="9">
        <v>1982.0590323886638</v>
      </c>
      <c r="H178" s="9">
        <v>349.48349595590588</v>
      </c>
      <c r="I178" s="9">
        <v>4126.1425748987858</v>
      </c>
      <c r="J178" s="9">
        <v>3608.9634716599189</v>
      </c>
      <c r="K178" s="9" t="s">
        <v>131</v>
      </c>
      <c r="L178" s="20" t="s">
        <v>131</v>
      </c>
    </row>
    <row r="179" spans="1:12" s="53" customFormat="1" ht="20.100000000000001" customHeight="1" x14ac:dyDescent="0.25">
      <c r="A179" s="341"/>
      <c r="B179" s="322"/>
      <c r="C179" s="10">
        <f>C178/12.79*19.53*1.039</f>
        <v>16832.890812577432</v>
      </c>
      <c r="D179" s="10">
        <f t="shared" ref="D179:J179" si="96">D178/12.79*19.53*1.039</f>
        <v>12293.242488374819</v>
      </c>
      <c r="E179" s="10">
        <f t="shared" si="96"/>
        <v>1723.6045882054161</v>
      </c>
      <c r="F179" s="10">
        <f t="shared" si="96"/>
        <v>972.8878451121418</v>
      </c>
      <c r="G179" s="10">
        <f t="shared" si="96"/>
        <v>3144.5885696442597</v>
      </c>
      <c r="H179" s="10">
        <f t="shared" si="96"/>
        <v>554.46472012381366</v>
      </c>
      <c r="I179" s="10">
        <f t="shared" si="96"/>
        <v>6546.233268396908</v>
      </c>
      <c r="J179" s="10">
        <f t="shared" si="96"/>
        <v>5725.7150749786888</v>
      </c>
      <c r="K179" s="10" t="s">
        <v>131</v>
      </c>
      <c r="L179" s="26" t="s">
        <v>131</v>
      </c>
    </row>
    <row r="180" spans="1:12" s="51" customFormat="1" ht="20.100000000000001" customHeight="1" x14ac:dyDescent="0.25">
      <c r="A180" s="341"/>
      <c r="B180" s="322"/>
      <c r="C180" s="16">
        <f>C179*0.0214</f>
        <v>360.22386338915703</v>
      </c>
      <c r="D180" s="16">
        <f t="shared" ref="D180:J180" si="97">D179*0.0214</f>
        <v>263.07538925122111</v>
      </c>
      <c r="E180" s="16">
        <f t="shared" si="97"/>
        <v>36.885138187595906</v>
      </c>
      <c r="F180" s="16">
        <f t="shared" si="97"/>
        <v>20.819799885399835</v>
      </c>
      <c r="G180" s="16">
        <f t="shared" si="97"/>
        <v>67.294195390387159</v>
      </c>
      <c r="H180" s="16">
        <f t="shared" si="97"/>
        <v>11.865545010649612</v>
      </c>
      <c r="I180" s="16">
        <f t="shared" si="97"/>
        <v>140.08939194369381</v>
      </c>
      <c r="J180" s="16">
        <f t="shared" si="97"/>
        <v>122.53030260454393</v>
      </c>
      <c r="K180" s="16" t="s">
        <v>131</v>
      </c>
      <c r="L180" s="31" t="s">
        <v>131</v>
      </c>
    </row>
    <row r="181" spans="1:12" s="51" customFormat="1" ht="20.100000000000001" hidden="1" customHeight="1" x14ac:dyDescent="0.25">
      <c r="A181" s="341"/>
      <c r="B181" s="322"/>
      <c r="C181" s="16">
        <f>2822/345.8</f>
        <v>8.1607865818392131</v>
      </c>
      <c r="D181" s="16">
        <f>2095/173</f>
        <v>12.109826589595375</v>
      </c>
      <c r="E181" s="16">
        <f>954/345.8</f>
        <v>2.7588201272411799</v>
      </c>
      <c r="F181" s="16">
        <f>1084/2/345.8</f>
        <v>1.5673799884326201</v>
      </c>
      <c r="G181" s="16">
        <f>929/345.8</f>
        <v>2.686524002313476</v>
      </c>
      <c r="H181" s="16">
        <f>F181</f>
        <v>1.5673799884326201</v>
      </c>
      <c r="I181" s="16">
        <f>1394/345.8</f>
        <v>4.0312319259687683</v>
      </c>
      <c r="J181" s="16">
        <f>505/345.8</f>
        <v>1.4603817235396181</v>
      </c>
      <c r="K181" s="16" t="s">
        <v>131</v>
      </c>
      <c r="L181" s="31" t="s">
        <v>131</v>
      </c>
    </row>
    <row r="182" spans="1:12" s="53" customFormat="1" ht="20.100000000000001" hidden="1" customHeight="1" thickBot="1" x14ac:dyDescent="0.3">
      <c r="A182" s="341"/>
      <c r="B182" s="322"/>
      <c r="C182" s="18">
        <f>123.5*P4</f>
        <v>152.96677499999998</v>
      </c>
      <c r="D182" s="18">
        <f>56.89*P4</f>
        <v>70.463804289473671</v>
      </c>
      <c r="E182" s="18">
        <f>69.05*P4</f>
        <v>85.525148289473677</v>
      </c>
      <c r="F182" s="18">
        <f>56.03*P4</f>
        <v>69.398610552631567</v>
      </c>
      <c r="G182" s="18">
        <f>56.03*P4</f>
        <v>69.398610552631567</v>
      </c>
      <c r="H182" s="18">
        <f>56.03*P4</f>
        <v>69.398610552631567</v>
      </c>
      <c r="I182" s="19">
        <f>68.5*P4</f>
        <v>84.843919736842096</v>
      </c>
      <c r="J182" s="19">
        <f>87.34*P4</f>
        <v>108.17909415789472</v>
      </c>
      <c r="K182" s="18" t="s">
        <v>131</v>
      </c>
      <c r="L182" s="34" t="s">
        <v>131</v>
      </c>
    </row>
    <row r="183" spans="1:12" s="53" customFormat="1" ht="20.100000000000001" customHeight="1" thickBot="1" x14ac:dyDescent="0.3">
      <c r="A183" s="341"/>
      <c r="B183" s="323"/>
      <c r="C183" s="18">
        <f>C182+C181</f>
        <v>161.12756158183919</v>
      </c>
      <c r="D183" s="18">
        <f t="shared" ref="D183:J183" si="98">D182+D181</f>
        <v>82.573630879069043</v>
      </c>
      <c r="E183" s="18">
        <f t="shared" si="98"/>
        <v>88.283968416714856</v>
      </c>
      <c r="F183" s="18">
        <f t="shared" si="98"/>
        <v>70.965990541064187</v>
      </c>
      <c r="G183" s="18">
        <f t="shared" si="98"/>
        <v>72.085134554945043</v>
      </c>
      <c r="H183" s="18">
        <f t="shared" si="98"/>
        <v>70.965990541064187</v>
      </c>
      <c r="I183" s="18">
        <f t="shared" si="98"/>
        <v>88.875151662810865</v>
      </c>
      <c r="J183" s="18">
        <f t="shared" si="98"/>
        <v>109.63947588143434</v>
      </c>
      <c r="K183" s="18" t="s">
        <v>131</v>
      </c>
      <c r="L183" s="34" t="s">
        <v>131</v>
      </c>
    </row>
    <row r="184" spans="1:12" s="53" customFormat="1" ht="20.100000000000001" customHeight="1" thickBot="1" x14ac:dyDescent="0.3">
      <c r="A184" s="345"/>
      <c r="B184" s="265" t="s">
        <v>212</v>
      </c>
      <c r="C184" s="36">
        <f>SUM(C179:C182)</f>
        <v>17354.242237548431</v>
      </c>
      <c r="D184" s="36">
        <f t="shared" ref="D184:J184" si="99">SUM(D179:D182)</f>
        <v>12638.891508505109</v>
      </c>
      <c r="E184" s="36">
        <f t="shared" si="99"/>
        <v>1848.773694809727</v>
      </c>
      <c r="F184" s="36">
        <f t="shared" si="99"/>
        <v>1064.6736355386058</v>
      </c>
      <c r="G184" s="36">
        <f t="shared" si="99"/>
        <v>3283.967899589592</v>
      </c>
      <c r="H184" s="36">
        <f t="shared" si="99"/>
        <v>637.2962556755275</v>
      </c>
      <c r="I184" s="36">
        <f t="shared" si="99"/>
        <v>6775.1978120034128</v>
      </c>
      <c r="J184" s="36">
        <f t="shared" si="99"/>
        <v>5957.8848534646668</v>
      </c>
      <c r="K184" s="36" t="s">
        <v>131</v>
      </c>
      <c r="L184" s="37" t="s">
        <v>131</v>
      </c>
    </row>
    <row r="185" spans="1:12" s="53" customFormat="1" ht="20.100000000000001" hidden="1" customHeight="1" thickBot="1" x14ac:dyDescent="0.3">
      <c r="A185" s="327" t="s">
        <v>942</v>
      </c>
      <c r="B185" s="321" t="s">
        <v>145</v>
      </c>
      <c r="C185" s="9">
        <v>6790.4676705223874</v>
      </c>
      <c r="D185" s="9">
        <v>7550.5344600000008</v>
      </c>
      <c r="E185" s="9">
        <v>871.39005820895522</v>
      </c>
      <c r="F185" s="9">
        <v>1117.7175402985072</v>
      </c>
      <c r="G185" s="9">
        <v>2436.2726656716418</v>
      </c>
      <c r="H185" s="9">
        <v>850.20541492537313</v>
      </c>
      <c r="I185" s="9">
        <v>3739.4092880597018</v>
      </c>
      <c r="J185" s="9">
        <v>3644.7395537313432</v>
      </c>
      <c r="K185" s="9" t="s">
        <v>131</v>
      </c>
      <c r="L185" s="20" t="s">
        <v>131</v>
      </c>
    </row>
    <row r="186" spans="1:12" s="53" customFormat="1" ht="20.100000000000001" customHeight="1" x14ac:dyDescent="0.25">
      <c r="A186" s="327"/>
      <c r="B186" s="322"/>
      <c r="C186" s="10">
        <f>C185/12.79*19.53*1.039</f>
        <v>10773.254817506569</v>
      </c>
      <c r="D186" s="10">
        <f t="shared" ref="D186:J186" si="100">D185/12.79*19.53*1.039</f>
        <v>11979.120686938877</v>
      </c>
      <c r="E186" s="10">
        <f t="shared" si="100"/>
        <v>1382.4831510912361</v>
      </c>
      <c r="F186" s="10">
        <f t="shared" si="100"/>
        <v>1773.2881533189218</v>
      </c>
      <c r="G186" s="10">
        <f t="shared" si="100"/>
        <v>3865.2103957646041</v>
      </c>
      <c r="H186" s="10">
        <f t="shared" si="100"/>
        <v>1348.8731596465011</v>
      </c>
      <c r="I186" s="10">
        <f t="shared" si="100"/>
        <v>5932.6707793778278</v>
      </c>
      <c r="J186" s="10">
        <f t="shared" si="100"/>
        <v>5782.4747662442287</v>
      </c>
      <c r="K186" s="10" t="s">
        <v>131</v>
      </c>
      <c r="L186" s="26" t="s">
        <v>131</v>
      </c>
    </row>
    <row r="187" spans="1:12" s="51" customFormat="1" ht="20.100000000000001" customHeight="1" x14ac:dyDescent="0.25">
      <c r="A187" s="327"/>
      <c r="B187" s="322"/>
      <c r="C187" s="16">
        <f>C186*0.0214</f>
        <v>230.54765309464057</v>
      </c>
      <c r="D187" s="16">
        <f t="shared" ref="D187:J187" si="101">D186*0.0214</f>
        <v>256.35318270049197</v>
      </c>
      <c r="E187" s="16">
        <f t="shared" si="101"/>
        <v>29.585139433352452</v>
      </c>
      <c r="F187" s="16">
        <f t="shared" si="101"/>
        <v>37.948366481024927</v>
      </c>
      <c r="G187" s="16">
        <f t="shared" si="101"/>
        <v>82.715502469362519</v>
      </c>
      <c r="H187" s="16">
        <f t="shared" si="101"/>
        <v>28.865885616435122</v>
      </c>
      <c r="I187" s="16">
        <f t="shared" si="101"/>
        <v>126.95915467868551</v>
      </c>
      <c r="J187" s="16">
        <f t="shared" si="101"/>
        <v>123.74495999762649</v>
      </c>
      <c r="K187" s="16" t="s">
        <v>131</v>
      </c>
      <c r="L187" s="31" t="s">
        <v>131</v>
      </c>
    </row>
    <row r="188" spans="1:12" s="51" customFormat="1" ht="20.100000000000001" hidden="1" customHeight="1" x14ac:dyDescent="0.25">
      <c r="A188" s="327"/>
      <c r="B188" s="322"/>
      <c r="C188" s="16">
        <f>5212/682</f>
        <v>7.6422287390029329</v>
      </c>
      <c r="D188" s="16">
        <f>3799/250</f>
        <v>15.196</v>
      </c>
      <c r="E188" s="16">
        <f>1881/682</f>
        <v>2.7580645161290325</v>
      </c>
      <c r="F188" s="16">
        <f>3056/2/682</f>
        <v>2.2404692082111435</v>
      </c>
      <c r="G188" s="16">
        <f>2751/682</f>
        <v>4.0337243401759535</v>
      </c>
      <c r="H188" s="16">
        <f>F188</f>
        <v>2.2404692082111435</v>
      </c>
      <c r="I188" s="16">
        <f>4585/682</f>
        <v>6.7228739002932549</v>
      </c>
      <c r="J188" s="16">
        <f>932/682</f>
        <v>1.3665689149560116</v>
      </c>
      <c r="K188" s="16" t="s">
        <v>131</v>
      </c>
      <c r="L188" s="31" t="s">
        <v>131</v>
      </c>
    </row>
    <row r="189" spans="1:12" s="53" customFormat="1" ht="20.100000000000001" hidden="1" customHeight="1" thickBot="1" x14ac:dyDescent="0.3">
      <c r="A189" s="327"/>
      <c r="B189" s="322"/>
      <c r="C189" s="18">
        <f>123.5*P4</f>
        <v>152.96677499999998</v>
      </c>
      <c r="D189" s="18">
        <f>56.89*P4</f>
        <v>70.463804289473671</v>
      </c>
      <c r="E189" s="18">
        <f>69.05*P4</f>
        <v>85.525148289473677</v>
      </c>
      <c r="F189" s="18">
        <f>56.03*P4</f>
        <v>69.398610552631567</v>
      </c>
      <c r="G189" s="18">
        <f>56.03*P4</f>
        <v>69.398610552631567</v>
      </c>
      <c r="H189" s="18">
        <f>56.03*P4</f>
        <v>69.398610552631567</v>
      </c>
      <c r="I189" s="19">
        <f>68.9*P4</f>
        <v>85.339358684210524</v>
      </c>
      <c r="J189" s="19">
        <f>88.32*P4</f>
        <v>109.39291957894734</v>
      </c>
      <c r="K189" s="18" t="s">
        <v>131</v>
      </c>
      <c r="L189" s="34" t="s">
        <v>131</v>
      </c>
    </row>
    <row r="190" spans="1:12" s="53" customFormat="1" ht="20.100000000000001" customHeight="1" thickBot="1" x14ac:dyDescent="0.3">
      <c r="A190" s="327"/>
      <c r="B190" s="323"/>
      <c r="C190" s="18">
        <f>C189+C188</f>
        <v>160.60900373900293</v>
      </c>
      <c r="D190" s="18">
        <f t="shared" ref="D190:J190" si="102">D189+D188</f>
        <v>85.659804289473669</v>
      </c>
      <c r="E190" s="18">
        <f t="shared" si="102"/>
        <v>88.283212805602716</v>
      </c>
      <c r="F190" s="18">
        <f t="shared" si="102"/>
        <v>71.639079760842705</v>
      </c>
      <c r="G190" s="18">
        <f t="shared" si="102"/>
        <v>73.432334892807518</v>
      </c>
      <c r="H190" s="18">
        <f t="shared" si="102"/>
        <v>71.639079760842705</v>
      </c>
      <c r="I190" s="18">
        <f t="shared" si="102"/>
        <v>92.062232584503775</v>
      </c>
      <c r="J190" s="18">
        <f t="shared" si="102"/>
        <v>110.75948849390335</v>
      </c>
      <c r="K190" s="18" t="s">
        <v>131</v>
      </c>
      <c r="L190" s="34" t="s">
        <v>131</v>
      </c>
    </row>
    <row r="191" spans="1:12" s="53" customFormat="1" ht="20.100000000000001" customHeight="1" x14ac:dyDescent="0.25">
      <c r="A191" s="327"/>
      <c r="B191" s="277" t="s">
        <v>212</v>
      </c>
      <c r="C191" s="38">
        <f>SUM(C186:C189)</f>
        <v>11164.411474340213</v>
      </c>
      <c r="D191" s="38">
        <f t="shared" ref="D191:J191" si="103">SUM(D186:D189)</f>
        <v>12321.133673928842</v>
      </c>
      <c r="E191" s="38">
        <f t="shared" si="103"/>
        <v>1500.3515033301912</v>
      </c>
      <c r="F191" s="38">
        <f t="shared" si="103"/>
        <v>1882.8755995607894</v>
      </c>
      <c r="G191" s="38">
        <f t="shared" si="103"/>
        <v>4021.3582331267739</v>
      </c>
      <c r="H191" s="38">
        <f t="shared" si="103"/>
        <v>1449.3781250237789</v>
      </c>
      <c r="I191" s="38">
        <f t="shared" si="103"/>
        <v>6151.6921666410162</v>
      </c>
      <c r="J191" s="38">
        <f t="shared" si="103"/>
        <v>6016.9792147357575</v>
      </c>
      <c r="K191" s="38" t="s">
        <v>131</v>
      </c>
      <c r="L191" s="42" t="s">
        <v>131</v>
      </c>
    </row>
    <row r="192" spans="1:12" s="53" customFormat="1" ht="20.100000000000001" customHeight="1" x14ac:dyDescent="0.25">
      <c r="A192" s="314" t="s">
        <v>965</v>
      </c>
      <c r="B192" s="315"/>
      <c r="C192" s="315"/>
      <c r="D192" s="315"/>
      <c r="E192" s="315"/>
      <c r="F192" s="315"/>
      <c r="G192" s="315"/>
      <c r="H192" s="315"/>
      <c r="I192" s="315"/>
      <c r="J192" s="315"/>
      <c r="K192" s="315"/>
      <c r="L192" s="316"/>
    </row>
    <row r="193" spans="1:12" s="53" customFormat="1" ht="20.100000000000001" hidden="1" customHeight="1" x14ac:dyDescent="0.25">
      <c r="A193" s="327" t="s">
        <v>943</v>
      </c>
      <c r="B193" s="322" t="s">
        <v>146</v>
      </c>
      <c r="C193" s="35">
        <v>3916.8459036974386</v>
      </c>
      <c r="D193" s="35">
        <v>6088.262738292683</v>
      </c>
      <c r="E193" s="35">
        <v>225.86379432092801</v>
      </c>
      <c r="F193" s="35">
        <v>238.8359424359594</v>
      </c>
      <c r="G193" s="35">
        <v>543.89517908409869</v>
      </c>
      <c r="H193" s="35">
        <v>214.98141466892218</v>
      </c>
      <c r="I193" s="35">
        <v>989.72533970517156</v>
      </c>
      <c r="J193" s="35">
        <v>2033.1906989608506</v>
      </c>
      <c r="K193" s="35">
        <v>698.58817815369741</v>
      </c>
      <c r="L193" s="61" t="s">
        <v>131</v>
      </c>
    </row>
    <row r="194" spans="1:12" s="53" customFormat="1" ht="20.100000000000001" customHeight="1" x14ac:dyDescent="0.25">
      <c r="A194" s="327"/>
      <c r="B194" s="322"/>
      <c r="C194" s="10">
        <f>C193/11.8*19.53*1.039</f>
        <v>6735.5376710745932</v>
      </c>
      <c r="D194" s="10">
        <f t="shared" ref="D194:K194" si="104">D193/11.8*19.53*1.039</f>
        <v>10469.577827011142</v>
      </c>
      <c r="E194" s="10">
        <f t="shared" si="104"/>
        <v>388.40284570408011</v>
      </c>
      <c r="F194" s="10">
        <f t="shared" si="104"/>
        <v>410.7101803431766</v>
      </c>
      <c r="G194" s="10">
        <f t="shared" si="104"/>
        <v>935.30012614961277</v>
      </c>
      <c r="H194" s="10">
        <f t="shared" si="104"/>
        <v>369.68914598262097</v>
      </c>
      <c r="I194" s="10">
        <f t="shared" si="104"/>
        <v>1701.9644054182404</v>
      </c>
      <c r="J194" s="10">
        <f t="shared" si="104"/>
        <v>3496.3419246087219</v>
      </c>
      <c r="K194" s="10">
        <f t="shared" si="104"/>
        <v>1201.3153200844099</v>
      </c>
      <c r="L194" s="15" t="s">
        <v>131</v>
      </c>
    </row>
    <row r="195" spans="1:12" s="51" customFormat="1" ht="20.100000000000001" customHeight="1" x14ac:dyDescent="0.25">
      <c r="A195" s="327"/>
      <c r="B195" s="322"/>
      <c r="C195" s="16">
        <f>C194*0.0214</f>
        <v>144.1405061609963</v>
      </c>
      <c r="D195" s="16">
        <f t="shared" ref="D195:K195" si="105">D194*0.0214</f>
        <v>224.04896549803843</v>
      </c>
      <c r="E195" s="16">
        <f t="shared" si="105"/>
        <v>8.3118208980673138</v>
      </c>
      <c r="F195" s="16">
        <f t="shared" si="105"/>
        <v>8.7891978593439788</v>
      </c>
      <c r="G195" s="16">
        <f t="shared" si="105"/>
        <v>20.015422699601711</v>
      </c>
      <c r="H195" s="16">
        <f t="shared" si="105"/>
        <v>7.9113477240280883</v>
      </c>
      <c r="I195" s="16">
        <f t="shared" si="105"/>
        <v>36.422038275950342</v>
      </c>
      <c r="J195" s="16">
        <f t="shared" si="105"/>
        <v>74.821717186626643</v>
      </c>
      <c r="K195" s="16">
        <f t="shared" si="105"/>
        <v>25.70814784980637</v>
      </c>
      <c r="L195" s="31" t="s">
        <v>131</v>
      </c>
    </row>
    <row r="196" spans="1:12" s="51" customFormat="1" ht="20.100000000000001" hidden="1" customHeight="1" x14ac:dyDescent="0.25">
      <c r="A196" s="327"/>
      <c r="B196" s="322"/>
      <c r="C196" s="16">
        <f>8907/1524.7</f>
        <v>5.8418049452351282</v>
      </c>
      <c r="D196" s="16">
        <f>6649/305</f>
        <v>21.8</v>
      </c>
      <c r="E196" s="16">
        <f>4345/1524.7</f>
        <v>2.849740932642487</v>
      </c>
      <c r="F196" s="16">
        <f>9705/2/1524.7</f>
        <v>3.182593297042041</v>
      </c>
      <c r="G196" s="16">
        <f>6972/1524.7</f>
        <v>4.5727028267855969</v>
      </c>
      <c r="H196" s="16">
        <f>F196</f>
        <v>3.182593297042041</v>
      </c>
      <c r="I196" s="16">
        <f>10388/1524.7</f>
        <v>6.8131435692267326</v>
      </c>
      <c r="J196" s="16">
        <f>1708/1524.7</f>
        <v>1.1202203712205681</v>
      </c>
      <c r="K196" s="16">
        <f>J196</f>
        <v>1.1202203712205681</v>
      </c>
      <c r="L196" s="31" t="s">
        <v>131</v>
      </c>
    </row>
    <row r="197" spans="1:12" s="53" customFormat="1" ht="20.100000000000001" hidden="1" customHeight="1" thickBot="1" x14ac:dyDescent="0.3">
      <c r="A197" s="327"/>
      <c r="B197" s="322"/>
      <c r="C197" s="27">
        <f>109.67*P4</f>
        <v>135.83697339473682</v>
      </c>
      <c r="D197" s="27">
        <f>62.8859649122807*P4</f>
        <v>77.890390650969522</v>
      </c>
      <c r="E197" s="18">
        <f>119.781871345029*P4</f>
        <v>148.36151063250199</v>
      </c>
      <c r="F197" s="27">
        <f>89.84*P4</f>
        <v>111.27558757894737</v>
      </c>
      <c r="G197" s="27">
        <f>89.84*P4</f>
        <v>111.27558757894737</v>
      </c>
      <c r="H197" s="18">
        <f>89.84*P4</f>
        <v>111.27558757894737</v>
      </c>
      <c r="I197" s="19">
        <f>118.28*P4</f>
        <v>146.50129673684208</v>
      </c>
      <c r="J197" s="28">
        <f>146.74*P4</f>
        <v>181.75177784210527</v>
      </c>
      <c r="K197" s="27">
        <f>62.88*P4</f>
        <v>77.883002526315778</v>
      </c>
      <c r="L197" s="34" t="s">
        <v>131</v>
      </c>
    </row>
    <row r="198" spans="1:12" s="53" customFormat="1" ht="20.100000000000001" customHeight="1" thickBot="1" x14ac:dyDescent="0.3">
      <c r="A198" s="327"/>
      <c r="B198" s="323"/>
      <c r="C198" s="18">
        <f>C197+C196</f>
        <v>141.67877833997196</v>
      </c>
      <c r="D198" s="18">
        <f t="shared" ref="D198:K198" si="106">D197+D196</f>
        <v>99.690390650969519</v>
      </c>
      <c r="E198" s="18">
        <f t="shared" si="106"/>
        <v>151.21125156514447</v>
      </c>
      <c r="F198" s="18">
        <f t="shared" si="106"/>
        <v>114.45818087598941</v>
      </c>
      <c r="G198" s="18">
        <f t="shared" si="106"/>
        <v>115.84829040573297</v>
      </c>
      <c r="H198" s="18">
        <f t="shared" si="106"/>
        <v>114.45818087598941</v>
      </c>
      <c r="I198" s="18">
        <f t="shared" si="106"/>
        <v>153.3144403060688</v>
      </c>
      <c r="J198" s="18">
        <f t="shared" si="106"/>
        <v>182.87199821332584</v>
      </c>
      <c r="K198" s="18">
        <f t="shared" si="106"/>
        <v>79.003222897536347</v>
      </c>
      <c r="L198" s="34" t="s">
        <v>131</v>
      </c>
    </row>
    <row r="199" spans="1:12" s="53" customFormat="1" ht="20.100000000000001" customHeight="1" thickBot="1" x14ac:dyDescent="0.3">
      <c r="A199" s="328"/>
      <c r="B199" s="265" t="s">
        <v>212</v>
      </c>
      <c r="C199" s="36">
        <f>SUM(C194:C197)</f>
        <v>7021.3569555755612</v>
      </c>
      <c r="D199" s="36">
        <f t="shared" ref="D199:K199" si="107">SUM(D194:D197)</f>
        <v>10793.31718316015</v>
      </c>
      <c r="E199" s="36">
        <f t="shared" si="107"/>
        <v>547.92591816729191</v>
      </c>
      <c r="F199" s="36">
        <f t="shared" si="107"/>
        <v>533.95755907851003</v>
      </c>
      <c r="G199" s="36">
        <f t="shared" si="107"/>
        <v>1071.1638392549476</v>
      </c>
      <c r="H199" s="36">
        <f t="shared" si="107"/>
        <v>492.05867458263845</v>
      </c>
      <c r="I199" s="36">
        <f t="shared" si="107"/>
        <v>1891.7008840002595</v>
      </c>
      <c r="J199" s="36">
        <f t="shared" si="107"/>
        <v>3754.0356400086744</v>
      </c>
      <c r="K199" s="36">
        <f t="shared" si="107"/>
        <v>1306.0266908317526</v>
      </c>
      <c r="L199" s="37" t="s">
        <v>131</v>
      </c>
    </row>
    <row r="200" spans="1:12" s="53" customFormat="1" ht="20.100000000000001" hidden="1" customHeight="1" x14ac:dyDescent="0.25">
      <c r="A200" s="327" t="s">
        <v>944</v>
      </c>
      <c r="B200" s="321" t="s">
        <v>229</v>
      </c>
      <c r="C200" s="35">
        <v>3916.8459036974386</v>
      </c>
      <c r="D200" s="35">
        <v>6088.262738292683</v>
      </c>
      <c r="E200" s="35">
        <v>225.86379432092801</v>
      </c>
      <c r="F200" s="35">
        <v>238.8359424359594</v>
      </c>
      <c r="G200" s="35">
        <v>543.89517908409869</v>
      </c>
      <c r="H200" s="35">
        <v>214.98141466892218</v>
      </c>
      <c r="I200" s="35">
        <v>989.72533970517156</v>
      </c>
      <c r="J200" s="35">
        <v>2033.1906989608506</v>
      </c>
      <c r="K200" s="35">
        <v>698.58817815369741</v>
      </c>
      <c r="L200" s="61" t="s">
        <v>131</v>
      </c>
    </row>
    <row r="201" spans="1:12" s="53" customFormat="1" ht="20.100000000000001" customHeight="1" x14ac:dyDescent="0.25">
      <c r="A201" s="327"/>
      <c r="B201" s="322"/>
      <c r="C201" s="10">
        <f>C200/11.8*19.53*1.039</f>
        <v>6735.5376710745932</v>
      </c>
      <c r="D201" s="10">
        <f t="shared" ref="D201:K201" si="108">D200/11.8*19.53*1.039</f>
        <v>10469.577827011142</v>
      </c>
      <c r="E201" s="10">
        <f t="shared" si="108"/>
        <v>388.40284570408011</v>
      </c>
      <c r="F201" s="10">
        <f t="shared" si="108"/>
        <v>410.7101803431766</v>
      </c>
      <c r="G201" s="10">
        <f t="shared" si="108"/>
        <v>935.30012614961277</v>
      </c>
      <c r="H201" s="10">
        <f t="shared" si="108"/>
        <v>369.68914598262097</v>
      </c>
      <c r="I201" s="10">
        <f t="shared" si="108"/>
        <v>1701.9644054182404</v>
      </c>
      <c r="J201" s="10">
        <f t="shared" si="108"/>
        <v>3496.3419246087219</v>
      </c>
      <c r="K201" s="10">
        <f t="shared" si="108"/>
        <v>1201.3153200844099</v>
      </c>
      <c r="L201" s="15" t="s">
        <v>131</v>
      </c>
    </row>
    <row r="202" spans="1:12" s="53" customFormat="1" ht="20.100000000000001" customHeight="1" x14ac:dyDescent="0.25">
      <c r="A202" s="327"/>
      <c r="B202" s="322"/>
      <c r="C202" s="16">
        <f>C201*0.0214</f>
        <v>144.1405061609963</v>
      </c>
      <c r="D202" s="16">
        <f t="shared" ref="D202:K202" si="109">D201*0.0214</f>
        <v>224.04896549803843</v>
      </c>
      <c r="E202" s="16">
        <f t="shared" si="109"/>
        <v>8.3118208980673138</v>
      </c>
      <c r="F202" s="16">
        <f t="shared" si="109"/>
        <v>8.7891978593439788</v>
      </c>
      <c r="G202" s="16">
        <f t="shared" si="109"/>
        <v>20.015422699601711</v>
      </c>
      <c r="H202" s="16">
        <f t="shared" si="109"/>
        <v>7.9113477240280883</v>
      </c>
      <c r="I202" s="16">
        <f t="shared" si="109"/>
        <v>36.422038275950342</v>
      </c>
      <c r="J202" s="16">
        <f t="shared" si="109"/>
        <v>74.821717186626643</v>
      </c>
      <c r="K202" s="16">
        <f t="shared" si="109"/>
        <v>25.70814784980637</v>
      </c>
      <c r="L202" s="31" t="s">
        <v>131</v>
      </c>
    </row>
    <row r="203" spans="1:12" s="53" customFormat="1" ht="20.100000000000001" hidden="1" customHeight="1" x14ac:dyDescent="0.25">
      <c r="A203" s="327"/>
      <c r="B203" s="322"/>
      <c r="C203" s="16">
        <f>8907/1524.7</f>
        <v>5.8418049452351282</v>
      </c>
      <c r="D203" s="16">
        <f>6649/305</f>
        <v>21.8</v>
      </c>
      <c r="E203" s="16">
        <f>4345/1524.7</f>
        <v>2.849740932642487</v>
      </c>
      <c r="F203" s="16">
        <f>9705/2/1524.7</f>
        <v>3.182593297042041</v>
      </c>
      <c r="G203" s="16">
        <f>6972/1524.7</f>
        <v>4.5727028267855969</v>
      </c>
      <c r="H203" s="16">
        <f>F203</f>
        <v>3.182593297042041</v>
      </c>
      <c r="I203" s="16">
        <f>10388/1524.7</f>
        <v>6.8131435692267326</v>
      </c>
      <c r="J203" s="16">
        <f>1708/1524.7</f>
        <v>1.1202203712205681</v>
      </c>
      <c r="K203" s="16">
        <f>J203</f>
        <v>1.1202203712205681</v>
      </c>
      <c r="L203" s="31" t="s">
        <v>131</v>
      </c>
    </row>
    <row r="204" spans="1:12" s="53" customFormat="1" ht="20.100000000000001" hidden="1" customHeight="1" thickBot="1" x14ac:dyDescent="0.3">
      <c r="A204" s="327"/>
      <c r="B204" s="322"/>
      <c r="C204" s="27">
        <v>135.83697339473682</v>
      </c>
      <c r="D204" s="27">
        <v>77.890390650969522</v>
      </c>
      <c r="E204" s="18">
        <v>148.36151063250199</v>
      </c>
      <c r="F204" s="27">
        <v>111.27558757894737</v>
      </c>
      <c r="G204" s="27">
        <v>111.27558757894737</v>
      </c>
      <c r="H204" s="18">
        <v>111.27558757894737</v>
      </c>
      <c r="I204" s="19">
        <v>146.50129673684208</v>
      </c>
      <c r="J204" s="28">
        <v>181.75177784210527</v>
      </c>
      <c r="K204" s="27">
        <v>77.883002526315778</v>
      </c>
      <c r="L204" s="34" t="s">
        <v>131</v>
      </c>
    </row>
    <row r="205" spans="1:12" s="53" customFormat="1" ht="20.100000000000001" customHeight="1" thickBot="1" x14ac:dyDescent="0.3">
      <c r="A205" s="327"/>
      <c r="B205" s="323"/>
      <c r="C205" s="18">
        <f>C204+C203</f>
        <v>141.67877833997196</v>
      </c>
      <c r="D205" s="18">
        <f t="shared" ref="D205:K205" si="110">D204+D203</f>
        <v>99.690390650969519</v>
      </c>
      <c r="E205" s="18">
        <f t="shared" si="110"/>
        <v>151.21125156514447</v>
      </c>
      <c r="F205" s="18">
        <f t="shared" si="110"/>
        <v>114.45818087598941</v>
      </c>
      <c r="G205" s="18">
        <f t="shared" si="110"/>
        <v>115.84829040573297</v>
      </c>
      <c r="H205" s="18">
        <f t="shared" si="110"/>
        <v>114.45818087598941</v>
      </c>
      <c r="I205" s="18">
        <f t="shared" si="110"/>
        <v>153.3144403060688</v>
      </c>
      <c r="J205" s="18">
        <f t="shared" si="110"/>
        <v>182.87199821332584</v>
      </c>
      <c r="K205" s="18">
        <f t="shared" si="110"/>
        <v>79.003222897536347</v>
      </c>
      <c r="L205" s="34" t="s">
        <v>131</v>
      </c>
    </row>
    <row r="206" spans="1:12" s="53" customFormat="1" ht="20.100000000000001" customHeight="1" thickBot="1" x14ac:dyDescent="0.3">
      <c r="A206" s="328"/>
      <c r="B206" s="265" t="s">
        <v>212</v>
      </c>
      <c r="C206" s="36">
        <f>SUM(C201:C204)</f>
        <v>7021.3569555755612</v>
      </c>
      <c r="D206" s="36">
        <f t="shared" ref="D206:K206" si="111">SUM(D201:D204)</f>
        <v>10793.31718316015</v>
      </c>
      <c r="E206" s="36">
        <f t="shared" si="111"/>
        <v>547.92591816729191</v>
      </c>
      <c r="F206" s="36">
        <f t="shared" si="111"/>
        <v>533.95755907851003</v>
      </c>
      <c r="G206" s="36">
        <f t="shared" si="111"/>
        <v>1071.1638392549476</v>
      </c>
      <c r="H206" s="36">
        <f t="shared" si="111"/>
        <v>492.05867458263845</v>
      </c>
      <c r="I206" s="36">
        <f t="shared" si="111"/>
        <v>1891.7008840002595</v>
      </c>
      <c r="J206" s="36">
        <f t="shared" si="111"/>
        <v>3754.0356400086744</v>
      </c>
      <c r="K206" s="36">
        <f t="shared" si="111"/>
        <v>1306.0266908317526</v>
      </c>
      <c r="L206" s="37" t="s">
        <v>131</v>
      </c>
    </row>
    <row r="207" spans="1:12" s="53" customFormat="1" ht="20.100000000000001" hidden="1" customHeight="1" x14ac:dyDescent="0.25">
      <c r="A207" s="327" t="s">
        <v>945</v>
      </c>
      <c r="B207" s="321" t="s">
        <v>52</v>
      </c>
      <c r="C207" s="16">
        <v>5359.0529505183795</v>
      </c>
      <c r="D207" s="16">
        <v>6709.1927099999994</v>
      </c>
      <c r="E207" s="16">
        <v>811.82438972667308</v>
      </c>
      <c r="F207" s="16">
        <v>517.13638407163057</v>
      </c>
      <c r="G207" s="16">
        <v>1314.0781074458059</v>
      </c>
      <c r="H207" s="16">
        <v>556.65324128180964</v>
      </c>
      <c r="I207" s="16">
        <v>3145.9180763430722</v>
      </c>
      <c r="J207" s="16">
        <v>2503.3122111215835</v>
      </c>
      <c r="K207" s="16" t="s">
        <v>131</v>
      </c>
      <c r="L207" s="15" t="s">
        <v>131</v>
      </c>
    </row>
    <row r="208" spans="1:12" s="53" customFormat="1" ht="20.100000000000001" customHeight="1" x14ac:dyDescent="0.25">
      <c r="A208" s="327"/>
      <c r="B208" s="322"/>
      <c r="C208" s="35">
        <f>C207/13.19*19.53*1.039</f>
        <v>8244.4377546963824</v>
      </c>
      <c r="D208" s="35">
        <f t="shared" ref="D208:J208" si="112">D207/13.19*19.53*1.039</f>
        <v>10321.51057147276</v>
      </c>
      <c r="E208" s="35">
        <f t="shared" si="112"/>
        <v>1248.9213505902228</v>
      </c>
      <c r="F208" s="35">
        <f t="shared" si="112"/>
        <v>795.56943522174254</v>
      </c>
      <c r="G208" s="35">
        <f t="shared" si="112"/>
        <v>2021.5950955659466</v>
      </c>
      <c r="H208" s="35">
        <f t="shared" si="112"/>
        <v>856.36268965283227</v>
      </c>
      <c r="I208" s="35">
        <f t="shared" si="112"/>
        <v>4839.7218690059453</v>
      </c>
      <c r="J208" s="35">
        <f t="shared" si="112"/>
        <v>3851.1285288134573</v>
      </c>
      <c r="K208" s="35" t="s">
        <v>131</v>
      </c>
      <c r="L208" s="62" t="s">
        <v>131</v>
      </c>
    </row>
    <row r="209" spans="1:12" s="51" customFormat="1" ht="20.100000000000001" customHeight="1" x14ac:dyDescent="0.25">
      <c r="A209" s="327"/>
      <c r="B209" s="322"/>
      <c r="C209" s="35">
        <f>C208*0.0214</f>
        <v>176.43096795050258</v>
      </c>
      <c r="D209" s="35">
        <f t="shared" ref="D209:J209" si="113">D208*0.0214</f>
        <v>220.88032622951704</v>
      </c>
      <c r="E209" s="35">
        <f t="shared" si="113"/>
        <v>26.726916902630766</v>
      </c>
      <c r="F209" s="35">
        <f t="shared" si="113"/>
        <v>17.02518591374529</v>
      </c>
      <c r="G209" s="35">
        <f t="shared" si="113"/>
        <v>43.262135045111258</v>
      </c>
      <c r="H209" s="35">
        <f t="shared" si="113"/>
        <v>18.326161558570611</v>
      </c>
      <c r="I209" s="35">
        <f t="shared" si="113"/>
        <v>103.57004799672723</v>
      </c>
      <c r="J209" s="35">
        <f t="shared" si="113"/>
        <v>82.414150516607975</v>
      </c>
      <c r="K209" s="35" t="s">
        <v>131</v>
      </c>
      <c r="L209" s="63" t="s">
        <v>131</v>
      </c>
    </row>
    <row r="210" spans="1:12" s="51" customFormat="1" ht="20.100000000000001" hidden="1" customHeight="1" x14ac:dyDescent="0.25">
      <c r="A210" s="327"/>
      <c r="B210" s="322"/>
      <c r="C210" s="16">
        <f>5398/636.6</f>
        <v>8.4794219289977999</v>
      </c>
      <c r="D210" s="16">
        <f>4021/318.3</f>
        <v>12.632736412189757</v>
      </c>
      <c r="E210" s="16">
        <f>1808/636.6</f>
        <v>2.8400879673264217</v>
      </c>
      <c r="F210" s="16">
        <f>2906/2/636.6</f>
        <v>2.2824379516179705</v>
      </c>
      <c r="G210" s="16">
        <f>2619/636.6</f>
        <v>4.1140433553251645</v>
      </c>
      <c r="H210" s="16">
        <f>F210</f>
        <v>2.2824379516179705</v>
      </c>
      <c r="I210" s="16">
        <f>4328/636.6</f>
        <v>6.798617656299089</v>
      </c>
      <c r="J210" s="16">
        <f>1010/636.6</f>
        <v>1.5865535658184102</v>
      </c>
      <c r="K210" s="16" t="s">
        <v>131</v>
      </c>
      <c r="L210" s="31" t="s">
        <v>131</v>
      </c>
    </row>
    <row r="211" spans="1:12" s="53" customFormat="1" ht="20.100000000000001" hidden="1" customHeight="1" thickBot="1" x14ac:dyDescent="0.3">
      <c r="A211" s="327"/>
      <c r="B211" s="322"/>
      <c r="C211" s="18">
        <f>(1/636.6)*85039.44*1.2*P4</f>
        <v>198.54783524222427</v>
      </c>
      <c r="D211" s="18">
        <f>(1/636.6)*29763.6*1.2*P4</f>
        <v>69.491266040974239</v>
      </c>
      <c r="E211" s="18">
        <f>(1/636.6)*56692.62*1.2*P4</f>
        <v>132.36442967180909</v>
      </c>
      <c r="F211" s="18">
        <f>(1/636.6)*42519.72*1.2*P4</f>
        <v>99.273917621112133</v>
      </c>
      <c r="G211" s="18">
        <f>(1/636.6)*42519.72*1.2*P4</f>
        <v>99.273917621112133</v>
      </c>
      <c r="H211" s="18">
        <f>(1/636.6)*42519.72*1.2*P4</f>
        <v>99.273917621112133</v>
      </c>
      <c r="I211" s="19">
        <f>(1/636.6)*55983.72*1.2*P4</f>
        <v>130.70930870201894</v>
      </c>
      <c r="J211" s="19">
        <f>(1/636.6)*69448.74*1.2*P4</f>
        <v>162.14708125194699</v>
      </c>
      <c r="K211" s="18" t="s">
        <v>131</v>
      </c>
      <c r="L211" s="34" t="s">
        <v>131</v>
      </c>
    </row>
    <row r="212" spans="1:12" s="53" customFormat="1" ht="20.100000000000001" customHeight="1" thickBot="1" x14ac:dyDescent="0.3">
      <c r="A212" s="327"/>
      <c r="B212" s="323"/>
      <c r="C212" s="18">
        <f>C211+C210</f>
        <v>207.02725717122206</v>
      </c>
      <c r="D212" s="18">
        <f t="shared" ref="D212:J212" si="114">D211+D210</f>
        <v>82.124002453163996</v>
      </c>
      <c r="E212" s="18">
        <f t="shared" si="114"/>
        <v>135.2045176391355</v>
      </c>
      <c r="F212" s="18">
        <f t="shared" si="114"/>
        <v>101.5563555727301</v>
      </c>
      <c r="G212" s="18">
        <f t="shared" si="114"/>
        <v>103.3879609764373</v>
      </c>
      <c r="H212" s="18">
        <f t="shared" si="114"/>
        <v>101.5563555727301</v>
      </c>
      <c r="I212" s="18">
        <f t="shared" si="114"/>
        <v>137.50792635831803</v>
      </c>
      <c r="J212" s="18">
        <f t="shared" si="114"/>
        <v>163.73363481776539</v>
      </c>
      <c r="K212" s="18" t="s">
        <v>131</v>
      </c>
      <c r="L212" s="34" t="s">
        <v>131</v>
      </c>
    </row>
    <row r="213" spans="1:12" s="53" customFormat="1" ht="20.100000000000001" customHeight="1" thickBot="1" x14ac:dyDescent="0.3">
      <c r="A213" s="328"/>
      <c r="B213" s="265" t="s">
        <v>212</v>
      </c>
      <c r="C213" s="36">
        <f>SUM(C208:C211)</f>
        <v>8627.8959798181077</v>
      </c>
      <c r="D213" s="36">
        <f t="shared" ref="D213:J213" si="115">SUM(D208:D211)</f>
        <v>10624.51490015544</v>
      </c>
      <c r="E213" s="36">
        <f t="shared" si="115"/>
        <v>1410.8527851319891</v>
      </c>
      <c r="F213" s="36">
        <f t="shared" si="115"/>
        <v>914.15097670821797</v>
      </c>
      <c r="G213" s="36">
        <f t="shared" si="115"/>
        <v>2168.2451915874949</v>
      </c>
      <c r="H213" s="36">
        <f t="shared" si="115"/>
        <v>976.24520678413296</v>
      </c>
      <c r="I213" s="36">
        <f t="shared" si="115"/>
        <v>5080.799843360991</v>
      </c>
      <c r="J213" s="36">
        <f t="shared" si="115"/>
        <v>4097.2763141478308</v>
      </c>
      <c r="K213" s="36" t="s">
        <v>131</v>
      </c>
      <c r="L213" s="37" t="s">
        <v>131</v>
      </c>
    </row>
    <row r="214" spans="1:12" s="53" customFormat="1" ht="20.100000000000001" hidden="1" customHeight="1" x14ac:dyDescent="0.25">
      <c r="A214" s="327" t="s">
        <v>946</v>
      </c>
      <c r="B214" s="321" t="s">
        <v>147</v>
      </c>
      <c r="C214" s="35">
        <v>3129.3369825092709</v>
      </c>
      <c r="D214" s="35">
        <v>5046.7617433333335</v>
      </c>
      <c r="E214" s="35">
        <v>452.55615723114954</v>
      </c>
      <c r="F214" s="35">
        <v>272.58674517923362</v>
      </c>
      <c r="G214" s="35">
        <v>707.25057014833124</v>
      </c>
      <c r="H214" s="35">
        <v>221.97190791100121</v>
      </c>
      <c r="I214" s="35">
        <v>1428.3851176761434</v>
      </c>
      <c r="J214" s="35">
        <v>1903.6402800370827</v>
      </c>
      <c r="K214" s="35">
        <v>461.44487058096411</v>
      </c>
      <c r="L214" s="21" t="s">
        <v>131</v>
      </c>
    </row>
    <row r="215" spans="1:12" s="53" customFormat="1" ht="20.100000000000001" customHeight="1" x14ac:dyDescent="0.25">
      <c r="A215" s="327"/>
      <c r="B215" s="322"/>
      <c r="C215" s="10">
        <f>C214/13.19*19.53*1.039</f>
        <v>4814.2132955173538</v>
      </c>
      <c r="D215" s="10">
        <f t="shared" ref="D215:K215" si="116">D214/13.19*19.53*1.039</f>
        <v>7764.0048418760198</v>
      </c>
      <c r="E215" s="10">
        <f t="shared" si="116"/>
        <v>696.21836232013652</v>
      </c>
      <c r="F215" s="10">
        <f t="shared" si="116"/>
        <v>419.35104469682329</v>
      </c>
      <c r="G215" s="10">
        <f t="shared" si="116"/>
        <v>1088.043607032736</v>
      </c>
      <c r="H215" s="10">
        <f t="shared" si="116"/>
        <v>341.48451134195795</v>
      </c>
      <c r="I215" s="10">
        <f t="shared" si="116"/>
        <v>2197.4465080208847</v>
      </c>
      <c r="J215" s="10">
        <f t="shared" si="116"/>
        <v>2928.5853192736977</v>
      </c>
      <c r="K215" s="10">
        <f t="shared" si="116"/>
        <v>709.89287619572644</v>
      </c>
      <c r="L215" s="15" t="s">
        <v>131</v>
      </c>
    </row>
    <row r="216" spans="1:12" s="51" customFormat="1" ht="20.100000000000001" customHeight="1" x14ac:dyDescent="0.25">
      <c r="A216" s="327"/>
      <c r="B216" s="322"/>
      <c r="C216" s="16">
        <f>C215*0.0214</f>
        <v>103.02416452407137</v>
      </c>
      <c r="D216" s="16">
        <f t="shared" ref="D216:K216" si="117">D215*0.0214</f>
        <v>166.14970361614681</v>
      </c>
      <c r="E216" s="16">
        <f t="shared" si="117"/>
        <v>14.89907295365092</v>
      </c>
      <c r="F216" s="16">
        <f t="shared" si="117"/>
        <v>8.974112356512018</v>
      </c>
      <c r="G216" s="16">
        <f t="shared" si="117"/>
        <v>23.284133190500548</v>
      </c>
      <c r="H216" s="16">
        <f t="shared" si="117"/>
        <v>7.3077685427179002</v>
      </c>
      <c r="I216" s="16">
        <f t="shared" si="117"/>
        <v>47.02535527164693</v>
      </c>
      <c r="J216" s="16">
        <f t="shared" si="117"/>
        <v>62.671725832457128</v>
      </c>
      <c r="K216" s="16">
        <f t="shared" si="117"/>
        <v>15.191707550588545</v>
      </c>
      <c r="L216" s="31" t="s">
        <v>131</v>
      </c>
    </row>
    <row r="217" spans="1:12" s="51" customFormat="1" ht="20.100000000000001" hidden="1" customHeight="1" x14ac:dyDescent="0.25">
      <c r="A217" s="327"/>
      <c r="B217" s="322"/>
      <c r="C217" s="16">
        <f>12634/1634.9</f>
        <v>7.727689766958223</v>
      </c>
      <c r="D217" s="16">
        <f>9416/600</f>
        <v>15.693333333333333</v>
      </c>
      <c r="E217" s="16">
        <f>4649/1634.9</f>
        <v>2.8435989968805431</v>
      </c>
      <c r="F217" s="16">
        <f>10396/2/1634.9</f>
        <v>3.179399351642302</v>
      </c>
      <c r="G217" s="16">
        <f>7466/1634.9</f>
        <v>4.5666401614777659</v>
      </c>
      <c r="H217" s="16">
        <f>F217</f>
        <v>3.179399351642302</v>
      </c>
      <c r="I217" s="16">
        <f>18455/1634.9</f>
        <v>11.288152180561502</v>
      </c>
      <c r="J217" s="16">
        <f>2375/1634.9</f>
        <v>1.4526882378127102</v>
      </c>
      <c r="K217" s="16">
        <f>J217</f>
        <v>1.4526882378127102</v>
      </c>
      <c r="L217" s="31" t="s">
        <v>131</v>
      </c>
    </row>
    <row r="218" spans="1:12" s="53" customFormat="1" ht="20.100000000000001" hidden="1" customHeight="1" thickBot="1" x14ac:dyDescent="0.3">
      <c r="A218" s="327"/>
      <c r="B218" s="322"/>
      <c r="C218" s="18">
        <f>(1/1617.9)*138293.64*1.2*P4</f>
        <v>127.04627374253174</v>
      </c>
      <c r="D218" s="18">
        <f>(1/1617.9)*117549.9*1.2*P4</f>
        <v>107.98961379429474</v>
      </c>
      <c r="E218" s="64">
        <f>(1/1617.9)*92195.76*1.2*P4</f>
        <v>84.697515828354483</v>
      </c>
      <c r="F218" s="19">
        <f>(1/1617.9)*69146.82*1.2*P4</f>
        <v>63.523136871265869</v>
      </c>
      <c r="G218" s="65">
        <f>(1/1617.9)*69146.82*1.2*P4</f>
        <v>63.523136871265869</v>
      </c>
      <c r="H218" s="65">
        <f>(1/1617.9)*69146.82*1.2*P4</f>
        <v>63.523136871265869</v>
      </c>
      <c r="I218" s="65">
        <f>(1/1617.9)*91043.16*1.2*P4</f>
        <v>83.638656323928672</v>
      </c>
      <c r="J218" s="19">
        <f>(1/1617.9)*112939.5*1.2*P4</f>
        <v>103.75417577659148</v>
      </c>
      <c r="K218" s="18">
        <f>(1/1617.9)*48403.08*1.2*P4</f>
        <v>44.466476923028871</v>
      </c>
      <c r="L218" s="34" t="s">
        <v>131</v>
      </c>
    </row>
    <row r="219" spans="1:12" s="53" customFormat="1" ht="20.100000000000001" customHeight="1" thickBot="1" x14ac:dyDescent="0.3">
      <c r="A219" s="327"/>
      <c r="B219" s="323"/>
      <c r="C219" s="18">
        <f>C218+C217</f>
        <v>134.77396350948996</v>
      </c>
      <c r="D219" s="18">
        <f t="shared" ref="D219:K219" si="118">D218+D217</f>
        <v>123.68294712762807</v>
      </c>
      <c r="E219" s="18">
        <f t="shared" si="118"/>
        <v>87.541114825235027</v>
      </c>
      <c r="F219" s="18">
        <f t="shared" si="118"/>
        <v>66.702536222908165</v>
      </c>
      <c r="G219" s="18">
        <f t="shared" si="118"/>
        <v>68.08977703274364</v>
      </c>
      <c r="H219" s="18">
        <f t="shared" si="118"/>
        <v>66.702536222908165</v>
      </c>
      <c r="I219" s="18">
        <f t="shared" si="118"/>
        <v>94.926808504490168</v>
      </c>
      <c r="J219" s="18">
        <f t="shared" si="118"/>
        <v>105.20686401440419</v>
      </c>
      <c r="K219" s="18">
        <f t="shared" si="118"/>
        <v>45.91916516084158</v>
      </c>
      <c r="L219" s="34" t="s">
        <v>131</v>
      </c>
    </row>
    <row r="220" spans="1:12" s="53" customFormat="1" ht="20.100000000000001" customHeight="1" thickBot="1" x14ac:dyDescent="0.3">
      <c r="A220" s="328"/>
      <c r="B220" s="259" t="s">
        <v>212</v>
      </c>
      <c r="C220" s="36">
        <f>SUM(C215:C218)</f>
        <v>5052.0114235509145</v>
      </c>
      <c r="D220" s="36">
        <f t="shared" ref="D220:K220" si="119">SUM(D215:D218)</f>
        <v>8053.8374926197957</v>
      </c>
      <c r="E220" s="36">
        <f t="shared" si="119"/>
        <v>798.65855009902248</v>
      </c>
      <c r="F220" s="36">
        <f t="shared" si="119"/>
        <v>495.0276932762435</v>
      </c>
      <c r="G220" s="36">
        <f t="shared" si="119"/>
        <v>1179.4175172559803</v>
      </c>
      <c r="H220" s="36">
        <f t="shared" si="119"/>
        <v>415.49481610758403</v>
      </c>
      <c r="I220" s="36">
        <f t="shared" si="119"/>
        <v>2339.398671797022</v>
      </c>
      <c r="J220" s="36">
        <f t="shared" si="119"/>
        <v>3096.463909120559</v>
      </c>
      <c r="K220" s="36">
        <f t="shared" si="119"/>
        <v>771.00374890715648</v>
      </c>
      <c r="L220" s="37" t="s">
        <v>131</v>
      </c>
    </row>
    <row r="221" spans="1:12" s="53" customFormat="1" ht="20.100000000000001" hidden="1" customHeight="1" thickBot="1" x14ac:dyDescent="0.3">
      <c r="A221" s="327" t="s">
        <v>947</v>
      </c>
      <c r="B221" s="321" t="s">
        <v>53</v>
      </c>
      <c r="C221" s="9">
        <v>3665.6226239419589</v>
      </c>
      <c r="D221" s="9">
        <v>7255.3680516279082</v>
      </c>
      <c r="E221" s="9">
        <v>613.12417400241839</v>
      </c>
      <c r="F221" s="9">
        <v>351.03368796856108</v>
      </c>
      <c r="G221" s="9">
        <v>805.0785667472793</v>
      </c>
      <c r="H221" s="9">
        <v>269.12025126964932</v>
      </c>
      <c r="I221" s="9">
        <v>1823.4136558041114</v>
      </c>
      <c r="J221" s="9">
        <v>2313.094782950423</v>
      </c>
      <c r="K221" s="9">
        <v>530.80247775090675</v>
      </c>
      <c r="L221" s="20" t="s">
        <v>131</v>
      </c>
    </row>
    <row r="222" spans="1:12" s="53" customFormat="1" ht="20.100000000000001" customHeight="1" x14ac:dyDescent="0.25">
      <c r="A222" s="327"/>
      <c r="B222" s="322"/>
      <c r="C222" s="10">
        <f>C221/13.19*19.53*1.039</f>
        <v>5639.2422008767489</v>
      </c>
      <c r="D222" s="10">
        <f t="shared" ref="D222:K222" si="120">D221/13.19*19.53*1.039</f>
        <v>11161.753922075548</v>
      </c>
      <c r="E222" s="10">
        <f t="shared" si="120"/>
        <v>943.23831750414354</v>
      </c>
      <c r="F222" s="10">
        <f t="shared" si="120"/>
        <v>540.03485634124434</v>
      </c>
      <c r="G222" s="10">
        <f t="shared" si="120"/>
        <v>1238.543487529095</v>
      </c>
      <c r="H222" s="10">
        <f t="shared" si="120"/>
        <v>414.018144736983</v>
      </c>
      <c r="I222" s="10">
        <f t="shared" si="120"/>
        <v>2805.1636222191519</v>
      </c>
      <c r="J222" s="10">
        <f t="shared" si="120"/>
        <v>3558.4955280023964</v>
      </c>
      <c r="K222" s="10">
        <f t="shared" si="120"/>
        <v>816.59353401847932</v>
      </c>
      <c r="L222" s="26" t="s">
        <v>131</v>
      </c>
    </row>
    <row r="223" spans="1:12" s="51" customFormat="1" ht="20.100000000000001" customHeight="1" x14ac:dyDescent="0.25">
      <c r="A223" s="327"/>
      <c r="B223" s="322"/>
      <c r="C223" s="16">
        <f>C222*0.0214</f>
        <v>120.67978309876243</v>
      </c>
      <c r="D223" s="16">
        <f t="shared" ref="D223:K223" si="121">D222*0.0214</f>
        <v>238.86153393241671</v>
      </c>
      <c r="E223" s="16">
        <f t="shared" si="121"/>
        <v>20.185299994588672</v>
      </c>
      <c r="F223" s="16">
        <f t="shared" si="121"/>
        <v>11.556745925702629</v>
      </c>
      <c r="G223" s="16">
        <f t="shared" si="121"/>
        <v>26.504830633122634</v>
      </c>
      <c r="H223" s="16">
        <f t="shared" si="121"/>
        <v>8.8599882973714355</v>
      </c>
      <c r="I223" s="16">
        <f t="shared" si="121"/>
        <v>60.030501515489846</v>
      </c>
      <c r="J223" s="16">
        <f t="shared" si="121"/>
        <v>76.151804299251282</v>
      </c>
      <c r="K223" s="16">
        <f t="shared" si="121"/>
        <v>17.475101627995457</v>
      </c>
      <c r="L223" s="31" t="s">
        <v>131</v>
      </c>
    </row>
    <row r="224" spans="1:12" s="51" customFormat="1" ht="20.100000000000001" hidden="1" customHeight="1" x14ac:dyDescent="0.25">
      <c r="A224" s="327"/>
      <c r="B224" s="322"/>
      <c r="C224" s="16">
        <f>12780/1654</f>
        <v>7.7267230955259976</v>
      </c>
      <c r="D224" s="16">
        <f>9524/551</f>
        <v>17.284936479128856</v>
      </c>
      <c r="E224" s="16">
        <f>4701/1654</f>
        <v>2.8422007255139059</v>
      </c>
      <c r="F224" s="16">
        <f>10515/2/1654</f>
        <v>3.178657799274486</v>
      </c>
      <c r="G224" s="16">
        <f>7551/1654</f>
        <v>4.5652962515114872</v>
      </c>
      <c r="H224" s="16">
        <f>F224</f>
        <v>3.178657799274486</v>
      </c>
      <c r="I224" s="16">
        <f>18668/1654</f>
        <v>11.286577992744862</v>
      </c>
      <c r="J224" s="16">
        <f>2400/1654</f>
        <v>1.4510278113663846</v>
      </c>
      <c r="K224" s="16">
        <f>J224</f>
        <v>1.4510278113663846</v>
      </c>
      <c r="L224" s="31" t="s">
        <v>131</v>
      </c>
    </row>
    <row r="225" spans="1:12" s="53" customFormat="1" ht="20.100000000000001" hidden="1" customHeight="1" thickBot="1" x14ac:dyDescent="0.3">
      <c r="A225" s="327"/>
      <c r="B225" s="322"/>
      <c r="C225" s="18">
        <f>(1/1654)*138878.1*1.2*P4</f>
        <v>124.79858466117227</v>
      </c>
      <c r="D225" s="18">
        <f>(1/1654)*48607.08*1.2*P4</f>
        <v>43.679275483408638</v>
      </c>
      <c r="E225" s="18">
        <f>(1/1654)*92585.4*1.2*P4</f>
        <v>83.199056440781504</v>
      </c>
      <c r="F225" s="18">
        <f>(1/1654)*69439.56*1.2*P4</f>
        <v>62.39975062658943</v>
      </c>
      <c r="G225" s="18">
        <f>(1/1654)*69439.56*1.2*P4</f>
        <v>62.39975062658943</v>
      </c>
      <c r="H225" s="18">
        <f>(1/1654)*69439.56*1.2*P4</f>
        <v>62.39975062658943</v>
      </c>
      <c r="I225" s="19">
        <f>(1/1654)*91427.7*1.2*P4</f>
        <v>82.158724513269249</v>
      </c>
      <c r="J225" s="19">
        <f>(1/1654)*113416.86*1.2*P4</f>
        <v>101.91861499195569</v>
      </c>
      <c r="K225" s="18">
        <f>(1/1654)*48607.08*1.2*P4</f>
        <v>43.679275483408638</v>
      </c>
      <c r="L225" s="34" t="s">
        <v>131</v>
      </c>
    </row>
    <row r="226" spans="1:12" s="53" customFormat="1" ht="20.100000000000001" customHeight="1" thickBot="1" x14ac:dyDescent="0.3">
      <c r="A226" s="327"/>
      <c r="B226" s="323"/>
      <c r="C226" s="18">
        <f>C225+C224</f>
        <v>132.52530775669828</v>
      </c>
      <c r="D226" s="18">
        <f t="shared" ref="D226:K226" si="122">D225+D224</f>
        <v>60.96421196253749</v>
      </c>
      <c r="E226" s="18">
        <f t="shared" si="122"/>
        <v>86.041257166295409</v>
      </c>
      <c r="F226" s="18">
        <f t="shared" si="122"/>
        <v>65.578408425863913</v>
      </c>
      <c r="G226" s="18">
        <f t="shared" si="122"/>
        <v>66.965046878100921</v>
      </c>
      <c r="H226" s="18">
        <f t="shared" si="122"/>
        <v>65.578408425863913</v>
      </c>
      <c r="I226" s="18">
        <f t="shared" si="122"/>
        <v>93.445302506014116</v>
      </c>
      <c r="J226" s="18">
        <f t="shared" si="122"/>
        <v>103.36964280332208</v>
      </c>
      <c r="K226" s="18">
        <f t="shared" si="122"/>
        <v>45.130303294775025</v>
      </c>
      <c r="L226" s="34" t="s">
        <v>131</v>
      </c>
    </row>
    <row r="227" spans="1:12" s="53" customFormat="1" ht="20.100000000000001" customHeight="1" thickBot="1" x14ac:dyDescent="0.3">
      <c r="A227" s="328"/>
      <c r="B227" s="259" t="s">
        <v>212</v>
      </c>
      <c r="C227" s="36">
        <f>SUM(C222:C225)</f>
        <v>5892.4472917322091</v>
      </c>
      <c r="D227" s="36">
        <f t="shared" ref="D227:K227" si="123">SUM(D222:D225)</f>
        <v>11461.579667970502</v>
      </c>
      <c r="E227" s="36">
        <f t="shared" si="123"/>
        <v>1049.4648746650275</v>
      </c>
      <c r="F227" s="36">
        <f t="shared" si="123"/>
        <v>617.17001069281093</v>
      </c>
      <c r="G227" s="36">
        <f t="shared" si="123"/>
        <v>1332.0133650403184</v>
      </c>
      <c r="H227" s="36">
        <f t="shared" si="123"/>
        <v>488.45654146021838</v>
      </c>
      <c r="I227" s="36">
        <f t="shared" si="123"/>
        <v>2958.6394262406557</v>
      </c>
      <c r="J227" s="36">
        <f t="shared" si="123"/>
        <v>3738.0169751049693</v>
      </c>
      <c r="K227" s="36">
        <f t="shared" si="123"/>
        <v>879.19893894124993</v>
      </c>
      <c r="L227" s="37" t="s">
        <v>131</v>
      </c>
    </row>
    <row r="228" spans="1:12" s="53" customFormat="1" ht="20.100000000000001" hidden="1" customHeight="1" thickBot="1" x14ac:dyDescent="0.3">
      <c r="A228" s="327" t="s">
        <v>948</v>
      </c>
      <c r="B228" s="321" t="s">
        <v>54</v>
      </c>
      <c r="C228" s="9">
        <v>3857.4266662037044</v>
      </c>
      <c r="D228" s="66">
        <v>5593.1102327160497</v>
      </c>
      <c r="E228" s="66">
        <v>423.00406296296308</v>
      </c>
      <c r="F228" s="66">
        <v>294.57215277777789</v>
      </c>
      <c r="G228" s="66">
        <v>688.78473935185195</v>
      </c>
      <c r="H228" s="66">
        <v>342.26535864197535</v>
      </c>
      <c r="I228" s="66">
        <v>1094.0201200617284</v>
      </c>
      <c r="J228" s="66">
        <v>1353.2464404320988</v>
      </c>
      <c r="K228" s="66">
        <v>302.67028425925929</v>
      </c>
      <c r="L228" s="20" t="s">
        <v>131</v>
      </c>
    </row>
    <row r="229" spans="1:12" s="53" customFormat="1" ht="20.100000000000001" customHeight="1" x14ac:dyDescent="0.25">
      <c r="A229" s="327"/>
      <c r="B229" s="322"/>
      <c r="C229" s="10">
        <f>C228/13.19*19.53*1.039</f>
        <v>5934.3160697350813</v>
      </c>
      <c r="D229" s="10">
        <f t="shared" ref="D229:K229" si="124">D228/13.19*19.53*1.039</f>
        <v>8604.5145652689371</v>
      </c>
      <c r="E229" s="10">
        <f t="shared" si="124"/>
        <v>650.75503065228725</v>
      </c>
      <c r="F229" s="10">
        <f t="shared" si="124"/>
        <v>453.17368577378716</v>
      </c>
      <c r="G229" s="10">
        <f t="shared" si="124"/>
        <v>1059.6355293376644</v>
      </c>
      <c r="H229" s="10">
        <f t="shared" si="124"/>
        <v>526.54554283507287</v>
      </c>
      <c r="I229" s="10">
        <f t="shared" si="124"/>
        <v>1683.054984810688</v>
      </c>
      <c r="J229" s="10">
        <f t="shared" si="124"/>
        <v>2081.8521757333442</v>
      </c>
      <c r="K229" s="10">
        <f t="shared" si="124"/>
        <v>465.631958073926</v>
      </c>
      <c r="L229" s="26" t="s">
        <v>131</v>
      </c>
    </row>
    <row r="230" spans="1:12" s="51" customFormat="1" ht="20.100000000000001" customHeight="1" x14ac:dyDescent="0.25">
      <c r="A230" s="327"/>
      <c r="B230" s="322"/>
      <c r="C230" s="16">
        <f>C229*0.0214</f>
        <v>126.99436389233074</v>
      </c>
      <c r="D230" s="16">
        <f t="shared" ref="D230:K230" si="125">D229*0.0214</f>
        <v>184.13661169675524</v>
      </c>
      <c r="E230" s="16">
        <f t="shared" si="125"/>
        <v>13.926157655958946</v>
      </c>
      <c r="F230" s="16">
        <f t="shared" si="125"/>
        <v>9.697916875559045</v>
      </c>
      <c r="G230" s="16">
        <f t="shared" si="125"/>
        <v>22.676200327826017</v>
      </c>
      <c r="H230" s="16">
        <f t="shared" si="125"/>
        <v>11.268074616670559</v>
      </c>
      <c r="I230" s="16">
        <f t="shared" si="125"/>
        <v>36.017376674948721</v>
      </c>
      <c r="J230" s="16">
        <f t="shared" si="125"/>
        <v>44.551636560693566</v>
      </c>
      <c r="K230" s="16">
        <f t="shared" si="125"/>
        <v>9.9645239027820161</v>
      </c>
      <c r="L230" s="31" t="s">
        <v>131</v>
      </c>
    </row>
    <row r="231" spans="1:12" s="51" customFormat="1" ht="20.100000000000001" hidden="1" customHeight="1" x14ac:dyDescent="0.25">
      <c r="A231" s="327"/>
      <c r="B231" s="322"/>
      <c r="C231" s="16">
        <f>15443/2223.1</f>
        <v>6.9466060905942157</v>
      </c>
      <c r="D231" s="16">
        <f>11502/611</f>
        <v>18.824877250409166</v>
      </c>
      <c r="E231" s="16">
        <f>6270/2223.1</f>
        <v>2.8203859475507174</v>
      </c>
      <c r="F231" s="16">
        <f>24048/2/2223.1</f>
        <v>5.4086635778867347</v>
      </c>
      <c r="G231" s="16">
        <f>22056/2223.1</f>
        <v>9.9212810939678828</v>
      </c>
      <c r="H231" s="16">
        <f>F231</f>
        <v>5.4086635778867347</v>
      </c>
      <c r="I231" s="16">
        <f>25045/2223.1</f>
        <v>11.265800008996447</v>
      </c>
      <c r="J231" s="16">
        <f>2877/2223.1</f>
        <v>1.2941388151680087</v>
      </c>
      <c r="K231" s="16">
        <f>J231</f>
        <v>1.2941388151680087</v>
      </c>
      <c r="L231" s="31" t="s">
        <v>131</v>
      </c>
    </row>
    <row r="232" spans="1:12" s="53" customFormat="1" ht="20.100000000000001" hidden="1" customHeight="1" thickBot="1" x14ac:dyDescent="0.3">
      <c r="A232" s="327"/>
      <c r="B232" s="322"/>
      <c r="C232" s="18">
        <f>(1/2223.1)*202065.06*1.2*P4</f>
        <v>135.09635278620416</v>
      </c>
      <c r="D232" s="18">
        <f>(1/2223.1)*171755.76*1.2*P4</f>
        <v>114.83220674580068</v>
      </c>
      <c r="E232" s="18">
        <f>(1/2223.1)*134710.38*1.2*P4</f>
        <v>90.064462507489537</v>
      </c>
      <c r="F232" s="18">
        <f>(1/2223.1)*101033.04*1.2*P4</f>
        <v>67.54851736813221</v>
      </c>
      <c r="G232" s="18">
        <f>(1/2223.1)*101033.04*1.2*P4</f>
        <v>67.54851736813221</v>
      </c>
      <c r="H232" s="18">
        <f>(1/2223.1)*101033.04*1.2*P4</f>
        <v>67.54851736813221</v>
      </c>
      <c r="I232" s="19">
        <f>(1/2223.1)*133026.36*1.2*P4</f>
        <v>88.938562958012611</v>
      </c>
      <c r="J232" s="19">
        <f>(1/2223.1)*165019.68*1.2*P4</f>
        <v>110.32860854789304</v>
      </c>
      <c r="K232" s="18">
        <f>(1/2223.1)*70722.72*1.2*P4</f>
        <v>47.283689377668452</v>
      </c>
      <c r="L232" s="34" t="s">
        <v>131</v>
      </c>
    </row>
    <row r="233" spans="1:12" s="53" customFormat="1" ht="20.100000000000001" customHeight="1" thickBot="1" x14ac:dyDescent="0.3">
      <c r="A233" s="327"/>
      <c r="B233" s="323"/>
      <c r="C233" s="18">
        <f>C232+C231</f>
        <v>142.04295887679837</v>
      </c>
      <c r="D233" s="18">
        <f t="shared" ref="D233:K233" si="126">D232+D231</f>
        <v>133.65708399620985</v>
      </c>
      <c r="E233" s="18">
        <f t="shared" si="126"/>
        <v>92.884848455040256</v>
      </c>
      <c r="F233" s="18">
        <f t="shared" si="126"/>
        <v>72.957180946018951</v>
      </c>
      <c r="G233" s="18">
        <f t="shared" si="126"/>
        <v>77.469798462100087</v>
      </c>
      <c r="H233" s="18">
        <f t="shared" si="126"/>
        <v>72.957180946018951</v>
      </c>
      <c r="I233" s="18">
        <f t="shared" si="126"/>
        <v>100.20436296700906</v>
      </c>
      <c r="J233" s="18">
        <f t="shared" si="126"/>
        <v>111.62274736306105</v>
      </c>
      <c r="K233" s="18">
        <f t="shared" si="126"/>
        <v>48.577828192836463</v>
      </c>
      <c r="L233" s="34" t="s">
        <v>131</v>
      </c>
    </row>
    <row r="234" spans="1:12" s="53" customFormat="1" ht="20.100000000000001" customHeight="1" thickBot="1" x14ac:dyDescent="0.3">
      <c r="A234" s="328"/>
      <c r="B234" s="267" t="s">
        <v>212</v>
      </c>
      <c r="C234" s="36">
        <f>SUM(C229:C232)</f>
        <v>6203.3533925042102</v>
      </c>
      <c r="D234" s="36">
        <f t="shared" ref="D234:K234" si="127">SUM(D229:D232)</f>
        <v>8922.3082609619014</v>
      </c>
      <c r="E234" s="36">
        <f t="shared" si="127"/>
        <v>757.56603676328643</v>
      </c>
      <c r="F234" s="36">
        <f t="shared" si="127"/>
        <v>535.82878359536517</v>
      </c>
      <c r="G234" s="36">
        <f t="shared" si="127"/>
        <v>1159.7815281275907</v>
      </c>
      <c r="H234" s="36">
        <f t="shared" si="127"/>
        <v>610.77079839776241</v>
      </c>
      <c r="I234" s="36">
        <f t="shared" si="127"/>
        <v>1819.2767244526458</v>
      </c>
      <c r="J234" s="36">
        <f t="shared" si="127"/>
        <v>2238.0265596570989</v>
      </c>
      <c r="K234" s="36">
        <f t="shared" si="127"/>
        <v>524.17431016954447</v>
      </c>
      <c r="L234" s="37" t="s">
        <v>131</v>
      </c>
    </row>
    <row r="235" spans="1:12" s="53" customFormat="1" ht="20.100000000000001" hidden="1" customHeight="1" thickBot="1" x14ac:dyDescent="0.3">
      <c r="A235" s="327" t="s">
        <v>949</v>
      </c>
      <c r="B235" s="321" t="s">
        <v>17</v>
      </c>
      <c r="C235" s="9">
        <v>3485.0501152877032</v>
      </c>
      <c r="D235" s="9">
        <v>7521.6159688804555</v>
      </c>
      <c r="E235" s="9">
        <v>500.40765688781511</v>
      </c>
      <c r="F235" s="9">
        <v>348.49515756570338</v>
      </c>
      <c r="G235" s="9">
        <v>814.92326398101375</v>
      </c>
      <c r="H235" s="9">
        <v>404.6781916995547</v>
      </c>
      <c r="I235" s="9">
        <v>1294.2984554250593</v>
      </c>
      <c r="J235" s="9">
        <v>1601.8321047893955</v>
      </c>
      <c r="K235" s="9">
        <v>358.27893044909399</v>
      </c>
      <c r="L235" s="20" t="s">
        <v>131</v>
      </c>
    </row>
    <row r="236" spans="1:12" s="53" customFormat="1" ht="20.100000000000001" customHeight="1" x14ac:dyDescent="0.25">
      <c r="A236" s="327"/>
      <c r="B236" s="322"/>
      <c r="C236" s="7">
        <f>C235/13.19*19.53*1.039</f>
        <v>5361.4470714844601</v>
      </c>
      <c r="D236" s="7">
        <f t="shared" ref="D236:K236" si="128">D235/13.19*19.53*1.039</f>
        <v>11571.353230269333</v>
      </c>
      <c r="E236" s="7">
        <f t="shared" si="128"/>
        <v>769.83374063993722</v>
      </c>
      <c r="F236" s="7">
        <f t="shared" si="128"/>
        <v>536.12954768167219</v>
      </c>
      <c r="G236" s="7">
        <f t="shared" si="128"/>
        <v>1253.688699622867</v>
      </c>
      <c r="H236" s="7">
        <f t="shared" si="128"/>
        <v>622.56226854921181</v>
      </c>
      <c r="I236" s="7">
        <f t="shared" si="128"/>
        <v>1991.1658179677797</v>
      </c>
      <c r="J236" s="7">
        <f t="shared" si="128"/>
        <v>2464.2796410759538</v>
      </c>
      <c r="K236" s="7">
        <f t="shared" si="128"/>
        <v>551.1810329511726</v>
      </c>
      <c r="L236" s="8" t="s">
        <v>131</v>
      </c>
    </row>
    <row r="237" spans="1:12" s="51" customFormat="1" ht="20.100000000000001" customHeight="1" x14ac:dyDescent="0.25">
      <c r="A237" s="327"/>
      <c r="B237" s="322"/>
      <c r="C237" s="35">
        <f>C236*0.0214</f>
        <v>114.73496732976744</v>
      </c>
      <c r="D237" s="35">
        <f t="shared" ref="D237:K237" si="129">D236*0.0214</f>
        <v>247.62695912776371</v>
      </c>
      <c r="E237" s="35">
        <f t="shared" si="129"/>
        <v>16.474442049694655</v>
      </c>
      <c r="F237" s="35">
        <f t="shared" si="129"/>
        <v>11.473172320387784</v>
      </c>
      <c r="G237" s="35">
        <f t="shared" si="129"/>
        <v>26.828938171929352</v>
      </c>
      <c r="H237" s="35">
        <f t="shared" si="129"/>
        <v>13.322832546953132</v>
      </c>
      <c r="I237" s="35">
        <f t="shared" si="129"/>
        <v>42.610948504510482</v>
      </c>
      <c r="J237" s="35">
        <f t="shared" si="129"/>
        <v>52.735584319025406</v>
      </c>
      <c r="K237" s="35">
        <f t="shared" si="129"/>
        <v>11.795274105155093</v>
      </c>
      <c r="L237" s="63" t="s">
        <v>131</v>
      </c>
    </row>
    <row r="238" spans="1:12" s="51" customFormat="1" ht="20.100000000000001" hidden="1" customHeight="1" x14ac:dyDescent="0.25">
      <c r="A238" s="327"/>
      <c r="B238" s="322"/>
      <c r="C238" s="16">
        <f>11049/1643.3</f>
        <v>6.7236657944380216</v>
      </c>
      <c r="D238" s="16">
        <f>8239/411</f>
        <v>20.046228710462287</v>
      </c>
      <c r="E238" s="16">
        <f>4671/1643.3</f>
        <v>2.8424511653380393</v>
      </c>
      <c r="F238" s="16">
        <f>10448/2/1643.3</f>
        <v>3.1789691474472099</v>
      </c>
      <c r="G238" s="16">
        <f>7503/1643.3</f>
        <v>4.5658126939694519</v>
      </c>
      <c r="H238" s="16">
        <f>F238</f>
        <v>3.1789691474472099</v>
      </c>
      <c r="I238" s="16">
        <f>18547/1643.3</f>
        <v>11.286435830341386</v>
      </c>
      <c r="J238" s="16">
        <f>2091/1643.3</f>
        <v>1.2724396032373881</v>
      </c>
      <c r="K238" s="16">
        <f>J238</f>
        <v>1.2724396032373881</v>
      </c>
      <c r="L238" s="31" t="s">
        <v>131</v>
      </c>
    </row>
    <row r="239" spans="1:12" s="53" customFormat="1" ht="20.100000000000001" hidden="1" customHeight="1" thickBot="1" x14ac:dyDescent="0.3">
      <c r="A239" s="327"/>
      <c r="B239" s="322"/>
      <c r="C239" s="18">
        <f>(1/1643.3)*192678*1.2*P4</f>
        <v>174.27162204293666</v>
      </c>
      <c r="D239" s="18">
        <f>(1/1643.3)*67437.3*1.2*P4</f>
        <v>60.995067715027837</v>
      </c>
      <c r="E239" s="18">
        <f>(1/1643.3)*128451.66*1.2*P4</f>
        <v>116.18077384189066</v>
      </c>
      <c r="F239" s="18">
        <f>(1/1643.3)*96339*1.2*P4</f>
        <v>87.135811021468328</v>
      </c>
      <c r="G239" s="18">
        <f>(1/1643.3)*96339*1.2*P4</f>
        <v>87.135811021468328</v>
      </c>
      <c r="H239" s="18">
        <f>(1/1643.3)*96339*1.2*P4</f>
        <v>87.135811021468328</v>
      </c>
      <c r="I239" s="19">
        <f>(1/1643.3)*126846.18*1.2*P4</f>
        <v>114.72866408489975</v>
      </c>
      <c r="J239" s="19">
        <f>(1/1643.3)*157353.36*1.2*P4</f>
        <v>142.32151714833114</v>
      </c>
      <c r="K239" s="18">
        <f>(1/1643.3)*67437.3*1.2*P4</f>
        <v>60.995067715027837</v>
      </c>
      <c r="L239" s="34" t="s">
        <v>131</v>
      </c>
    </row>
    <row r="240" spans="1:12" s="53" customFormat="1" ht="20.100000000000001" customHeight="1" thickBot="1" x14ac:dyDescent="0.3">
      <c r="A240" s="327"/>
      <c r="B240" s="323"/>
      <c r="C240" s="18">
        <f>C239+C238</f>
        <v>180.99528783737469</v>
      </c>
      <c r="D240" s="18">
        <f t="shared" ref="D240:K240" si="130">D239+D238</f>
        <v>81.041296425490117</v>
      </c>
      <c r="E240" s="18">
        <f t="shared" si="130"/>
        <v>119.02322500722869</v>
      </c>
      <c r="F240" s="18">
        <f t="shared" si="130"/>
        <v>90.314780168915533</v>
      </c>
      <c r="G240" s="18">
        <f t="shared" si="130"/>
        <v>91.701623715437776</v>
      </c>
      <c r="H240" s="18">
        <f t="shared" si="130"/>
        <v>90.314780168915533</v>
      </c>
      <c r="I240" s="18">
        <f t="shared" si="130"/>
        <v>126.01509991524114</v>
      </c>
      <c r="J240" s="18">
        <f t="shared" si="130"/>
        <v>143.59395675156853</v>
      </c>
      <c r="K240" s="18">
        <f t="shared" si="130"/>
        <v>62.267507318265224</v>
      </c>
      <c r="L240" s="34" t="s">
        <v>131</v>
      </c>
    </row>
    <row r="241" spans="1:12" s="53" customFormat="1" ht="20.100000000000001" customHeight="1" thickBot="1" x14ac:dyDescent="0.3">
      <c r="A241" s="328"/>
      <c r="B241" s="259" t="s">
        <v>212</v>
      </c>
      <c r="C241" s="36">
        <f t="shared" ref="C241" si="131">SUM(C236:C239)</f>
        <v>5657.177326651602</v>
      </c>
      <c r="D241" s="36">
        <f>SUM(D236:D239)</f>
        <v>11900.021485822586</v>
      </c>
      <c r="E241" s="36">
        <f t="shared" ref="E241:K241" si="132">SUM(E236:E239)</f>
        <v>905.33140769686054</v>
      </c>
      <c r="F241" s="36">
        <f t="shared" si="132"/>
        <v>637.91750017097547</v>
      </c>
      <c r="G241" s="36">
        <f t="shared" si="132"/>
        <v>1372.2192615102342</v>
      </c>
      <c r="H241" s="36">
        <f t="shared" si="132"/>
        <v>726.19988126508042</v>
      </c>
      <c r="I241" s="36">
        <f t="shared" si="132"/>
        <v>2159.7918663875316</v>
      </c>
      <c r="J241" s="36">
        <f t="shared" si="132"/>
        <v>2660.6091821465475</v>
      </c>
      <c r="K241" s="36">
        <f t="shared" si="132"/>
        <v>625.24381437459294</v>
      </c>
      <c r="L241" s="37" t="s">
        <v>131</v>
      </c>
    </row>
    <row r="242" spans="1:12" s="53" customFormat="1" ht="20.100000000000001" hidden="1" customHeight="1" thickBot="1" x14ac:dyDescent="0.3">
      <c r="A242" s="327" t="s">
        <v>950</v>
      </c>
      <c r="B242" s="321" t="s">
        <v>18</v>
      </c>
      <c r="C242" s="9">
        <v>4061.298767755919</v>
      </c>
      <c r="D242" s="9">
        <v>4349.5845368888886</v>
      </c>
      <c r="E242" s="9">
        <v>498.5989866622208</v>
      </c>
      <c r="F242" s="9">
        <v>340.30299833277758</v>
      </c>
      <c r="G242" s="9">
        <v>598.89139396465487</v>
      </c>
      <c r="H242" s="9">
        <v>362.70407185728573</v>
      </c>
      <c r="I242" s="9">
        <v>1959.541161387129</v>
      </c>
      <c r="J242" s="9">
        <v>1501.3615518506169</v>
      </c>
      <c r="K242" s="9">
        <v>347.69457269089696</v>
      </c>
      <c r="L242" s="20" t="s">
        <v>131</v>
      </c>
    </row>
    <row r="243" spans="1:12" s="53" customFormat="1" ht="20.100000000000001" customHeight="1" x14ac:dyDescent="0.25">
      <c r="A243" s="327"/>
      <c r="B243" s="322"/>
      <c r="C243" s="10">
        <f>C242/13.19*19.53*1.039</f>
        <v>6247.9556002054396</v>
      </c>
      <c r="D243" s="10">
        <f t="shared" ref="D243:K243" si="133">D242/13.19*19.53*1.039</f>
        <v>6691.4582304512624</v>
      </c>
      <c r="E243" s="10">
        <f t="shared" si="133"/>
        <v>767.05125850524541</v>
      </c>
      <c r="F243" s="10">
        <f t="shared" si="133"/>
        <v>523.5266218483149</v>
      </c>
      <c r="G243" s="10">
        <f t="shared" si="133"/>
        <v>921.34242093788987</v>
      </c>
      <c r="H243" s="10">
        <f t="shared" si="133"/>
        <v>557.98872886916831</v>
      </c>
      <c r="I243" s="10">
        <f t="shared" si="133"/>
        <v>3014.583972576525</v>
      </c>
      <c r="J243" s="10">
        <f t="shared" si="133"/>
        <v>2309.7144170462934</v>
      </c>
      <c r="K243" s="10">
        <f t="shared" si="133"/>
        <v>534.89791734910489</v>
      </c>
      <c r="L243" s="26" t="s">
        <v>131</v>
      </c>
    </row>
    <row r="244" spans="1:12" s="51" customFormat="1" ht="20.100000000000001" customHeight="1" x14ac:dyDescent="0.25">
      <c r="A244" s="327"/>
      <c r="B244" s="322"/>
      <c r="C244" s="16">
        <f t="shared" ref="C244:K244" si="134">C243*0.0214</f>
        <v>133.70624984439641</v>
      </c>
      <c r="D244" s="16">
        <f t="shared" si="134"/>
        <v>143.197206131657</v>
      </c>
      <c r="E244" s="16">
        <f t="shared" si="134"/>
        <v>16.414896932012251</v>
      </c>
      <c r="F244" s="16">
        <f t="shared" si="134"/>
        <v>11.203469707553939</v>
      </c>
      <c r="G244" s="16">
        <f t="shared" si="134"/>
        <v>19.716727808070843</v>
      </c>
      <c r="H244" s="16">
        <f t="shared" si="134"/>
        <v>11.940958797800201</v>
      </c>
      <c r="I244" s="16">
        <f t="shared" si="134"/>
        <v>64.512097013137634</v>
      </c>
      <c r="J244" s="16">
        <f t="shared" si="134"/>
        <v>49.427888524790674</v>
      </c>
      <c r="K244" s="16">
        <f t="shared" si="134"/>
        <v>11.446815431270844</v>
      </c>
      <c r="L244" s="31" t="s">
        <v>131</v>
      </c>
    </row>
    <row r="245" spans="1:12" s="51" customFormat="1" ht="20.100000000000001" hidden="1" customHeight="1" x14ac:dyDescent="0.25">
      <c r="A245" s="327"/>
      <c r="B245" s="322"/>
      <c r="C245" s="16">
        <f>24159/4198.6</f>
        <v>5.754060877435335</v>
      </c>
      <c r="D245" s="16">
        <f>18063/840</f>
        <v>21.50357142857143</v>
      </c>
      <c r="E245" s="16">
        <f>11719/4198.6</f>
        <v>2.791168484733006</v>
      </c>
      <c r="F245" s="16">
        <f>58463/2/4198.6</f>
        <v>6.9622016862763774</v>
      </c>
      <c r="G245" s="16">
        <f>52818/4198.6</f>
        <v>12.579907588243699</v>
      </c>
      <c r="H245" s="16">
        <f>F245</f>
        <v>6.9622016862763774</v>
      </c>
      <c r="I245" s="16">
        <f>62225/4198.6</f>
        <v>14.820416329252607</v>
      </c>
      <c r="J245" s="16">
        <f>4457/4198.6</f>
        <v>1.0615443242985756</v>
      </c>
      <c r="K245" s="16">
        <f>J245</f>
        <v>1.0615443242985756</v>
      </c>
      <c r="L245" s="31" t="s">
        <v>131</v>
      </c>
    </row>
    <row r="246" spans="1:12" s="53" customFormat="1" ht="20.100000000000001" hidden="1" customHeight="1" thickBot="1" x14ac:dyDescent="0.3">
      <c r="A246" s="327"/>
      <c r="B246" s="322"/>
      <c r="C246" s="18">
        <f>(1/4198.6)*296328.36*1.2*P4</f>
        <v>104.90111757762861</v>
      </c>
      <c r="D246" s="18">
        <f>(1/4198.6)*103714.62*1.2</f>
        <v>29.642629447911204</v>
      </c>
      <c r="E246" s="18">
        <f>(1/4198.6)*197552.58*1.2</f>
        <v>56.462415090744521</v>
      </c>
      <c r="F246" s="18">
        <f>(1/4198.6)*148164.18*1.2</f>
        <v>42.346738436621727</v>
      </c>
      <c r="G246" s="18">
        <f>(1/4198.6)*148164.18*1.2</f>
        <v>42.346738436621727</v>
      </c>
      <c r="H246" s="18">
        <f>(1/4198.6)*148164.18*1.2</f>
        <v>42.346738436621727</v>
      </c>
      <c r="I246" s="19">
        <f>(1/4198.6)*195083.16*1.2</f>
        <v>55.756631258038389</v>
      </c>
      <c r="J246" s="19">
        <f>(1/4198.6)*242001.12*1.2</f>
        <v>69.166232553708369</v>
      </c>
      <c r="K246" s="18">
        <f>(1/4198.6)*103714.62*1.2</f>
        <v>29.642629447911204</v>
      </c>
      <c r="L246" s="34" t="s">
        <v>131</v>
      </c>
    </row>
    <row r="247" spans="1:12" s="53" customFormat="1" ht="20.100000000000001" customHeight="1" thickBot="1" x14ac:dyDescent="0.3">
      <c r="A247" s="327"/>
      <c r="B247" s="323"/>
      <c r="C247" s="18">
        <f>C246+C245</f>
        <v>110.65517845506395</v>
      </c>
      <c r="D247" s="18">
        <f t="shared" ref="D247:K247" si="135">D246+D245</f>
        <v>51.146200876482638</v>
      </c>
      <c r="E247" s="18">
        <f t="shared" si="135"/>
        <v>59.253583575477528</v>
      </c>
      <c r="F247" s="18">
        <f t="shared" si="135"/>
        <v>49.308940122898107</v>
      </c>
      <c r="G247" s="18">
        <f t="shared" si="135"/>
        <v>54.926646024865427</v>
      </c>
      <c r="H247" s="18">
        <f t="shared" si="135"/>
        <v>49.308940122898107</v>
      </c>
      <c r="I247" s="18">
        <f t="shared" si="135"/>
        <v>70.577047587290991</v>
      </c>
      <c r="J247" s="18">
        <f t="shared" si="135"/>
        <v>70.227776878006949</v>
      </c>
      <c r="K247" s="18">
        <f t="shared" si="135"/>
        <v>30.704173772209781</v>
      </c>
      <c r="L247" s="34" t="s">
        <v>131</v>
      </c>
    </row>
    <row r="248" spans="1:12" s="53" customFormat="1" ht="20.100000000000001" customHeight="1" thickBot="1" x14ac:dyDescent="0.3">
      <c r="A248" s="328"/>
      <c r="B248" s="265" t="s">
        <v>212</v>
      </c>
      <c r="C248" s="36">
        <f>SUM(C243:C246)</f>
        <v>6492.3170285049</v>
      </c>
      <c r="D248" s="36">
        <f t="shared" ref="D248:K248" si="136">SUM(D243:D246)</f>
        <v>6885.8016374594026</v>
      </c>
      <c r="E248" s="36">
        <f t="shared" si="136"/>
        <v>842.7197390127352</v>
      </c>
      <c r="F248" s="36">
        <f t="shared" si="136"/>
        <v>584.03903167876695</v>
      </c>
      <c r="G248" s="36">
        <f t="shared" si="136"/>
        <v>995.98579477082615</v>
      </c>
      <c r="H248" s="36">
        <f t="shared" si="136"/>
        <v>619.23862778986665</v>
      </c>
      <c r="I248" s="36">
        <f t="shared" si="136"/>
        <v>3149.6731171769534</v>
      </c>
      <c r="J248" s="36">
        <f t="shared" si="136"/>
        <v>2429.3700824490916</v>
      </c>
      <c r="K248" s="36">
        <f t="shared" si="136"/>
        <v>577.04890655258544</v>
      </c>
      <c r="L248" s="37" t="s">
        <v>131</v>
      </c>
    </row>
    <row r="249" spans="1:12" s="53" customFormat="1" ht="20.100000000000001" hidden="1" customHeight="1" thickBot="1" x14ac:dyDescent="0.3">
      <c r="A249" s="327" t="s">
        <v>951</v>
      </c>
      <c r="B249" s="321" t="s">
        <v>19</v>
      </c>
      <c r="C249" s="35">
        <v>6826.2152155555559</v>
      </c>
      <c r="D249" s="35">
        <v>7737.5079800000003</v>
      </c>
      <c r="E249" s="35">
        <v>1113.0140933333334</v>
      </c>
      <c r="F249" s="35">
        <v>643.49031444444449</v>
      </c>
      <c r="G249" s="35" t="s">
        <v>131</v>
      </c>
      <c r="H249" s="35">
        <v>460.48733888888893</v>
      </c>
      <c r="I249" s="35">
        <v>5118.8314100000007</v>
      </c>
      <c r="J249" s="35">
        <v>4638.842288888889</v>
      </c>
      <c r="K249" s="9" t="s">
        <v>131</v>
      </c>
      <c r="L249" s="20" t="s">
        <v>131</v>
      </c>
    </row>
    <row r="250" spans="1:12" s="53" customFormat="1" ht="20.100000000000001" customHeight="1" x14ac:dyDescent="0.25">
      <c r="A250" s="327"/>
      <c r="B250" s="322"/>
      <c r="C250" s="7">
        <f>C249/14.06*19.53*1.039</f>
        <v>9851.7287697746942</v>
      </c>
      <c r="D250" s="7">
        <f t="shared" ref="D250:J250" si="137">D249/14.06*19.53*1.039</f>
        <v>11166.924505869603</v>
      </c>
      <c r="E250" s="7">
        <f t="shared" si="137"/>
        <v>1606.3239464629587</v>
      </c>
      <c r="F250" s="7">
        <f t="shared" si="137"/>
        <v>928.69794515667866</v>
      </c>
      <c r="G250" s="7" t="s">
        <v>131</v>
      </c>
      <c r="H250" s="7">
        <f t="shared" si="137"/>
        <v>664.58443242613794</v>
      </c>
      <c r="I250" s="7">
        <f t="shared" si="137"/>
        <v>7387.5987025145596</v>
      </c>
      <c r="J250" s="7">
        <f t="shared" si="137"/>
        <v>6694.8689123881932</v>
      </c>
      <c r="K250" s="7" t="s">
        <v>131</v>
      </c>
      <c r="L250" s="8" t="s">
        <v>131</v>
      </c>
    </row>
    <row r="251" spans="1:12" s="51" customFormat="1" ht="20.100000000000001" customHeight="1" x14ac:dyDescent="0.25">
      <c r="A251" s="327"/>
      <c r="B251" s="322"/>
      <c r="C251" s="35">
        <f>C250*0.0214</f>
        <v>210.82699567317846</v>
      </c>
      <c r="D251" s="35">
        <f t="shared" ref="D251:J251" si="138">D250*0.0214</f>
        <v>238.9721844256095</v>
      </c>
      <c r="E251" s="35">
        <f t="shared" si="138"/>
        <v>34.375332454307312</v>
      </c>
      <c r="F251" s="35">
        <f t="shared" si="138"/>
        <v>19.874136026352922</v>
      </c>
      <c r="G251" s="35" t="s">
        <v>131</v>
      </c>
      <c r="H251" s="35">
        <f t="shared" si="138"/>
        <v>14.222106853919351</v>
      </c>
      <c r="I251" s="35">
        <f t="shared" si="138"/>
        <v>158.09461223381157</v>
      </c>
      <c r="J251" s="35">
        <f t="shared" si="138"/>
        <v>143.27019472510733</v>
      </c>
      <c r="K251" s="35" t="s">
        <v>131</v>
      </c>
      <c r="L251" s="63" t="s">
        <v>131</v>
      </c>
    </row>
    <row r="252" spans="1:12" s="51" customFormat="1" ht="20.100000000000001" hidden="1" customHeight="1" x14ac:dyDescent="0.25">
      <c r="A252" s="327"/>
      <c r="B252" s="322"/>
      <c r="C252" s="16">
        <f>2409/270</f>
        <v>8.9222222222222225</v>
      </c>
      <c r="D252" s="16">
        <f>1825/149</f>
        <v>12.248322147651006</v>
      </c>
      <c r="E252" s="16">
        <f>885/270</f>
        <v>3.2777777777777777</v>
      </c>
      <c r="F252" s="16">
        <f>988/270</f>
        <v>3.6592592592592594</v>
      </c>
      <c r="G252" s="16" t="s">
        <v>131</v>
      </c>
      <c r="H252" s="16">
        <f>F252</f>
        <v>3.6592592592592594</v>
      </c>
      <c r="I252" s="16">
        <f>1230/270</f>
        <v>4.5555555555555554</v>
      </c>
      <c r="J252" s="16">
        <f>560/270</f>
        <v>2.074074074074074</v>
      </c>
      <c r="K252" s="16" t="s">
        <v>131</v>
      </c>
      <c r="L252" s="31" t="s">
        <v>131</v>
      </c>
    </row>
    <row r="253" spans="1:12" s="53" customFormat="1" ht="20.100000000000001" hidden="1" customHeight="1" thickBot="1" x14ac:dyDescent="0.3">
      <c r="A253" s="327"/>
      <c r="B253" s="322"/>
      <c r="C253" s="18">
        <f>149.23*P4</f>
        <v>184.83588528947365</v>
      </c>
      <c r="D253" s="18">
        <f>56.32*P4</f>
        <v>69.757803789473684</v>
      </c>
      <c r="E253" s="18">
        <f>102*P4</f>
        <v>126.33693157894736</v>
      </c>
      <c r="F253" s="18">
        <f>57.18*P4</f>
        <v>70.822997526315788</v>
      </c>
      <c r="G253" s="18" t="s">
        <v>131</v>
      </c>
      <c r="H253" s="18">
        <f>57.18*P4</f>
        <v>70.822997526315788</v>
      </c>
      <c r="I253" s="19">
        <f>59.63*P4</f>
        <v>73.85756107894737</v>
      </c>
      <c r="J253" s="19">
        <f>70.15*P4</f>
        <v>86.887605394736838</v>
      </c>
      <c r="K253" s="18" t="s">
        <v>131</v>
      </c>
      <c r="L253" s="34" t="s">
        <v>131</v>
      </c>
    </row>
    <row r="254" spans="1:12" s="53" customFormat="1" ht="20.100000000000001" customHeight="1" thickBot="1" x14ac:dyDescent="0.3">
      <c r="A254" s="327"/>
      <c r="B254" s="323"/>
      <c r="C254" s="18">
        <f>C253+C252</f>
        <v>193.75810751169587</v>
      </c>
      <c r="D254" s="18">
        <f t="shared" ref="D254:J254" si="139">D253+D252</f>
        <v>82.006125937124693</v>
      </c>
      <c r="E254" s="18">
        <f t="shared" si="139"/>
        <v>129.61470935672514</v>
      </c>
      <c r="F254" s="18">
        <f t="shared" si="139"/>
        <v>74.482256785575046</v>
      </c>
      <c r="G254" s="18" t="s">
        <v>131</v>
      </c>
      <c r="H254" s="18">
        <f t="shared" si="139"/>
        <v>74.482256785575046</v>
      </c>
      <c r="I254" s="18">
        <f t="shared" si="139"/>
        <v>78.413116634502927</v>
      </c>
      <c r="J254" s="18">
        <f t="shared" si="139"/>
        <v>88.961679468810914</v>
      </c>
      <c r="K254" s="18" t="s">
        <v>131</v>
      </c>
      <c r="L254" s="34" t="s">
        <v>131</v>
      </c>
    </row>
    <row r="255" spans="1:12" s="53" customFormat="1" ht="20.100000000000001" customHeight="1" thickBot="1" x14ac:dyDescent="0.3">
      <c r="A255" s="328"/>
      <c r="B255" s="265" t="s">
        <v>212</v>
      </c>
      <c r="C255" s="18">
        <f>SUM(C250:C253)</f>
        <v>10256.313872959568</v>
      </c>
      <c r="D255" s="18">
        <f t="shared" ref="D255:J255" si="140">SUM(D250:D253)</f>
        <v>11487.902816232337</v>
      </c>
      <c r="E255" s="18">
        <f t="shared" si="140"/>
        <v>1770.3139882739911</v>
      </c>
      <c r="F255" s="18">
        <f t="shared" si="140"/>
        <v>1023.0543379686067</v>
      </c>
      <c r="G255" s="18" t="s">
        <v>131</v>
      </c>
      <c r="H255" s="18">
        <f t="shared" si="140"/>
        <v>753.28879606563237</v>
      </c>
      <c r="I255" s="18">
        <f t="shared" si="140"/>
        <v>7624.1064313828747</v>
      </c>
      <c r="J255" s="18">
        <f t="shared" si="140"/>
        <v>6927.1007865821111</v>
      </c>
      <c r="K255" s="18" t="s">
        <v>131</v>
      </c>
      <c r="L255" s="34" t="s">
        <v>131</v>
      </c>
    </row>
    <row r="256" spans="1:12" s="53" customFormat="1" ht="20.100000000000001" hidden="1" customHeight="1" thickBot="1" x14ac:dyDescent="0.3">
      <c r="A256" s="327" t="s">
        <v>952</v>
      </c>
      <c r="B256" s="321" t="s">
        <v>20</v>
      </c>
      <c r="C256" s="9">
        <v>4925.231323857869</v>
      </c>
      <c r="D256" s="9">
        <v>6661.7537700000003</v>
      </c>
      <c r="E256" s="9">
        <v>748.93648020304579</v>
      </c>
      <c r="F256" s="9">
        <v>477.09486091370559</v>
      </c>
      <c r="G256" s="9">
        <v>1286.7252730964469</v>
      </c>
      <c r="H256" s="9">
        <v>511.36251472081221</v>
      </c>
      <c r="I256" s="9">
        <v>2963.4847827411168</v>
      </c>
      <c r="J256" s="9">
        <v>2435.9975969543143</v>
      </c>
      <c r="K256" s="9" t="s">
        <v>131</v>
      </c>
      <c r="L256" s="20" t="s">
        <v>131</v>
      </c>
    </row>
    <row r="257" spans="1:12" s="53" customFormat="1" ht="20.100000000000001" customHeight="1" x14ac:dyDescent="0.25">
      <c r="A257" s="327"/>
      <c r="B257" s="322"/>
      <c r="C257" s="10">
        <f>C256/14.06*19.53*1.039</f>
        <v>7108.1912302551209</v>
      </c>
      <c r="D257" s="10">
        <f t="shared" ref="D257:J257" si="141">D256/14.06*19.53*1.039</f>
        <v>9614.3747597507754</v>
      </c>
      <c r="E257" s="10">
        <f t="shared" si="141"/>
        <v>1080.8799365036798</v>
      </c>
      <c r="F257" s="10">
        <f t="shared" si="141"/>
        <v>688.55273658298802</v>
      </c>
      <c r="G257" s="10">
        <f t="shared" si="141"/>
        <v>1857.0273557847067</v>
      </c>
      <c r="H257" s="10">
        <f t="shared" si="141"/>
        <v>738.00849211129901</v>
      </c>
      <c r="I257" s="10">
        <f t="shared" si="141"/>
        <v>4276.9598336703011</v>
      </c>
      <c r="J257" s="10">
        <f t="shared" si="141"/>
        <v>3515.6798974530548</v>
      </c>
      <c r="K257" s="10" t="s">
        <v>131</v>
      </c>
      <c r="L257" s="26" t="s">
        <v>131</v>
      </c>
    </row>
    <row r="258" spans="1:12" s="51" customFormat="1" ht="20.100000000000001" customHeight="1" x14ac:dyDescent="0.25">
      <c r="A258" s="327"/>
      <c r="B258" s="322"/>
      <c r="C258" s="16">
        <f>C257*0.0214</f>
        <v>152.11529232745957</v>
      </c>
      <c r="D258" s="16">
        <f t="shared" ref="D258:J258" si="142">D257*0.0214</f>
        <v>205.74761985866658</v>
      </c>
      <c r="E258" s="16">
        <f t="shared" si="142"/>
        <v>23.130830641178747</v>
      </c>
      <c r="F258" s="16">
        <f t="shared" si="142"/>
        <v>14.735028562875943</v>
      </c>
      <c r="G258" s="16">
        <f t="shared" si="142"/>
        <v>39.740385413792723</v>
      </c>
      <c r="H258" s="16">
        <f t="shared" si="142"/>
        <v>15.793381731181798</v>
      </c>
      <c r="I258" s="16">
        <f t="shared" si="142"/>
        <v>91.526940440544436</v>
      </c>
      <c r="J258" s="16">
        <f t="shared" si="142"/>
        <v>75.235549805495367</v>
      </c>
      <c r="K258" s="16" t="s">
        <v>131</v>
      </c>
      <c r="L258" s="31" t="s">
        <v>131</v>
      </c>
    </row>
    <row r="259" spans="1:12" s="51" customFormat="1" ht="20.100000000000001" hidden="1" customHeight="1" x14ac:dyDescent="0.25">
      <c r="A259" s="327"/>
      <c r="B259" s="322"/>
      <c r="C259" s="16">
        <f>5888/689.5</f>
        <v>8.5395213923132705</v>
      </c>
      <c r="D259" s="16">
        <f>4397/345</f>
        <v>12.744927536231884</v>
      </c>
      <c r="E259" s="16">
        <f>2001/689.5</f>
        <v>2.9021029731689629</v>
      </c>
      <c r="F259" s="16">
        <f>3191/2/689.5</f>
        <v>2.3139956490210296</v>
      </c>
      <c r="G259" s="16">
        <f>2782/689.5</f>
        <v>4.0348078317621461</v>
      </c>
      <c r="H259" s="16">
        <f>F259</f>
        <v>2.3139956490210296</v>
      </c>
      <c r="I259" s="16">
        <f>4736/689.5</f>
        <v>6.8687454677302391</v>
      </c>
      <c r="J259" s="16">
        <f>1135/689.5</f>
        <v>1.646120377084844</v>
      </c>
      <c r="K259" s="16" t="s">
        <v>131</v>
      </c>
      <c r="L259" s="31" t="s">
        <v>131</v>
      </c>
    </row>
    <row r="260" spans="1:12" s="53" customFormat="1" ht="20.100000000000001" hidden="1" customHeight="1" thickBot="1" x14ac:dyDescent="0.3">
      <c r="A260" s="327"/>
      <c r="B260" s="322"/>
      <c r="C260" s="18">
        <f>(1/689.5)*85895.22*1.2*P4</f>
        <v>185.15955350592725</v>
      </c>
      <c r="D260" s="18">
        <f>(1/689.5)*30063.48*1.2*P4</f>
        <v>64.80617354067401</v>
      </c>
      <c r="E260" s="18">
        <f>(1/689.5)*57263.82*1.2*P4</f>
        <v>123.44043525639476</v>
      </c>
      <c r="F260" s="18">
        <f>(1/689.5)*42948.12*1.2*P4</f>
        <v>92.580876131628557</v>
      </c>
      <c r="G260" s="18">
        <f>(1/689.5)*42948.12*1.2*P4</f>
        <v>92.580876131628557</v>
      </c>
      <c r="H260" s="18">
        <f>(1/689.5)*42948.12*1.2*P4</f>
        <v>92.580876131628557</v>
      </c>
      <c r="I260" s="19">
        <f>(1/689.5)*56547.78*1.2*P4</f>
        <v>121.896907610824</v>
      </c>
      <c r="J260" s="19">
        <f>(1/689.5)*70148.46*1.2*P4</f>
        <v>151.21513784734933</v>
      </c>
      <c r="K260" s="18" t="s">
        <v>131</v>
      </c>
      <c r="L260" s="34" t="s">
        <v>131</v>
      </c>
    </row>
    <row r="261" spans="1:12" s="53" customFormat="1" ht="20.100000000000001" customHeight="1" thickBot="1" x14ac:dyDescent="0.3">
      <c r="A261" s="327"/>
      <c r="B261" s="323"/>
      <c r="C261" s="18">
        <f>C260+C259</f>
        <v>193.69907489824053</v>
      </c>
      <c r="D261" s="18">
        <f t="shared" ref="D261:J261" si="143">D260+D259</f>
        <v>77.551101076905894</v>
      </c>
      <c r="E261" s="18">
        <f t="shared" si="143"/>
        <v>126.34253822956373</v>
      </c>
      <c r="F261" s="18">
        <f t="shared" si="143"/>
        <v>94.894871780649581</v>
      </c>
      <c r="G261" s="18">
        <f t="shared" si="143"/>
        <v>96.615683963390708</v>
      </c>
      <c r="H261" s="18">
        <f t="shared" si="143"/>
        <v>94.894871780649581</v>
      </c>
      <c r="I261" s="18">
        <f t="shared" si="143"/>
        <v>128.76565307855424</v>
      </c>
      <c r="J261" s="18">
        <f t="shared" si="143"/>
        <v>152.86125822443418</v>
      </c>
      <c r="K261" s="18" t="s">
        <v>131</v>
      </c>
      <c r="L261" s="34" t="s">
        <v>131</v>
      </c>
    </row>
    <row r="262" spans="1:12" s="53" customFormat="1" ht="20.100000000000001" customHeight="1" thickBot="1" x14ac:dyDescent="0.3">
      <c r="A262" s="328"/>
      <c r="B262" s="265" t="s">
        <v>212</v>
      </c>
      <c r="C262" s="18">
        <f>SUM(C257:C260)</f>
        <v>7454.0055974808201</v>
      </c>
      <c r="D262" s="18">
        <f t="shared" ref="D262:J262" si="144">SUM(D257:D260)</f>
        <v>9897.6734806863478</v>
      </c>
      <c r="E262" s="18">
        <f t="shared" si="144"/>
        <v>1230.3533053744222</v>
      </c>
      <c r="F262" s="18">
        <f t="shared" si="144"/>
        <v>798.18263692651362</v>
      </c>
      <c r="G262" s="18">
        <f t="shared" si="144"/>
        <v>1993.3834251618903</v>
      </c>
      <c r="H262" s="18">
        <f t="shared" si="144"/>
        <v>848.69674562313048</v>
      </c>
      <c r="I262" s="18">
        <f t="shared" si="144"/>
        <v>4497.2524271893999</v>
      </c>
      <c r="J262" s="18">
        <f t="shared" si="144"/>
        <v>3743.7767054829847</v>
      </c>
      <c r="K262" s="18" t="s">
        <v>131</v>
      </c>
      <c r="L262" s="34" t="s">
        <v>131</v>
      </c>
    </row>
    <row r="263" spans="1:12" s="53" customFormat="1" ht="20.100000000000001" hidden="1" customHeight="1" thickBot="1" x14ac:dyDescent="0.3">
      <c r="A263" s="327" t="s">
        <v>953</v>
      </c>
      <c r="B263" s="321" t="s">
        <v>21</v>
      </c>
      <c r="C263" s="9">
        <v>4719.7707927302927</v>
      </c>
      <c r="D263" s="9">
        <v>5037.219739011387</v>
      </c>
      <c r="E263" s="9">
        <v>682.52984314661023</v>
      </c>
      <c r="F263" s="9">
        <v>411.07663638872913</v>
      </c>
      <c r="G263" s="9">
        <v>1066.6855268015286</v>
      </c>
      <c r="H263" s="9">
        <v>334.98693357829802</v>
      </c>
      <c r="I263" s="9">
        <v>2154.1061564277056</v>
      </c>
      <c r="J263" s="9">
        <v>2819.4001947987144</v>
      </c>
      <c r="K263" s="9">
        <v>696.82527995301064</v>
      </c>
      <c r="L263" s="20" t="s">
        <v>131</v>
      </c>
    </row>
    <row r="264" spans="1:12" s="53" customFormat="1" ht="20.100000000000001" customHeight="1" x14ac:dyDescent="0.25">
      <c r="A264" s="327"/>
      <c r="B264" s="322"/>
      <c r="C264" s="10">
        <f>C263/14.06*19.53*1.039</f>
        <v>6811.6665292831776</v>
      </c>
      <c r="D264" s="10">
        <f t="shared" ref="D264:K264" si="145">D263/14.06*19.53*1.039</f>
        <v>7269.8151252848638</v>
      </c>
      <c r="E264" s="10">
        <f t="shared" si="145"/>
        <v>985.0405648849769</v>
      </c>
      <c r="F264" s="10">
        <f t="shared" si="145"/>
        <v>593.27392960953648</v>
      </c>
      <c r="G264" s="10">
        <f t="shared" si="145"/>
        <v>1539.4616432171244</v>
      </c>
      <c r="H264" s="10">
        <f t="shared" si="145"/>
        <v>483.45976603717941</v>
      </c>
      <c r="I264" s="10">
        <f t="shared" si="145"/>
        <v>3108.8485968136119</v>
      </c>
      <c r="J264" s="10">
        <f t="shared" si="145"/>
        <v>4069.0141074531457</v>
      </c>
      <c r="K264" s="10">
        <f t="shared" si="145"/>
        <v>1005.6720219391257</v>
      </c>
      <c r="L264" s="26" t="s">
        <v>131</v>
      </c>
    </row>
    <row r="265" spans="1:12" s="51" customFormat="1" ht="20.100000000000001" customHeight="1" x14ac:dyDescent="0.25">
      <c r="A265" s="327"/>
      <c r="B265" s="322"/>
      <c r="C265" s="16">
        <f>C264*0.0214</f>
        <v>145.76966372665999</v>
      </c>
      <c r="D265" s="16">
        <f t="shared" ref="D265:K265" si="146">D264*0.0214</f>
        <v>155.57404368109607</v>
      </c>
      <c r="E265" s="16">
        <f t="shared" si="146"/>
        <v>21.079868088538504</v>
      </c>
      <c r="F265" s="16">
        <f t="shared" si="146"/>
        <v>12.69606209364408</v>
      </c>
      <c r="G265" s="16">
        <f t="shared" si="146"/>
        <v>32.944479164846463</v>
      </c>
      <c r="H265" s="16">
        <f t="shared" si="146"/>
        <v>10.34603899319564</v>
      </c>
      <c r="I265" s="16">
        <f t="shared" si="146"/>
        <v>66.529359971811289</v>
      </c>
      <c r="J265" s="16">
        <f t="shared" si="146"/>
        <v>87.076901899497315</v>
      </c>
      <c r="K265" s="16">
        <f t="shared" si="146"/>
        <v>21.521381269497287</v>
      </c>
      <c r="L265" s="31" t="s">
        <v>131</v>
      </c>
    </row>
    <row r="266" spans="1:12" s="51" customFormat="1" ht="20.100000000000001" hidden="1" customHeight="1" x14ac:dyDescent="0.25">
      <c r="A266" s="327"/>
      <c r="B266" s="322"/>
      <c r="C266" s="16">
        <f>8339/1072.7</f>
        <v>7.7738417078400293</v>
      </c>
      <c r="D266" s="16">
        <f>6227/393</f>
        <v>15.844783715012722</v>
      </c>
      <c r="E266" s="16">
        <f>3099/1072.7</f>
        <v>2.888971753519157</v>
      </c>
      <c r="F266" s="16">
        <f>6870/2/1072.7</f>
        <v>3.2022000559336252</v>
      </c>
      <c r="G266" s="16">
        <f>4947/1072.7</f>
        <v>4.6117274167987317</v>
      </c>
      <c r="H266" s="16">
        <f>F266</f>
        <v>3.2022000559336252</v>
      </c>
      <c r="I266" s="16">
        <f>7351/1072.7</f>
        <v>6.8528013424070098</v>
      </c>
      <c r="J266" s="16">
        <f>1606/1072.7</f>
        <v>1.4971567073739163</v>
      </c>
      <c r="K266" s="16">
        <f>J266</f>
        <v>1.4971567073739163</v>
      </c>
      <c r="L266" s="31" t="s">
        <v>131</v>
      </c>
    </row>
    <row r="267" spans="1:12" s="53" customFormat="1" ht="20.100000000000001" hidden="1" customHeight="1" thickBot="1" x14ac:dyDescent="0.3">
      <c r="A267" s="327"/>
      <c r="B267" s="322"/>
      <c r="C267" s="67">
        <f>(1/1072.7)*129465.54*1.2*P4</f>
        <v>179.38548762398864</v>
      </c>
      <c r="D267" s="67">
        <f>(1/1072.7)*110045.76*1.2*P4</f>
        <v>152.47773514521643</v>
      </c>
      <c r="E267" s="67">
        <f>(1/1072.7)*86310.36*1.2*P4</f>
        <v>119.59032508265908</v>
      </c>
      <c r="F267" s="67">
        <f>(1/1072.7)*64733.28*1.2*P4</f>
        <v>89.693450460255207</v>
      </c>
      <c r="G267" s="68">
        <f>(1/1072.7)*64733.28*1.2*P4</f>
        <v>89.693450460255207</v>
      </c>
      <c r="H267" s="68">
        <f>(1/1072.7)*64733.28*1.2*P4</f>
        <v>89.693450460255207</v>
      </c>
      <c r="I267" s="68">
        <f>(1/1072.7)*85231.2*1.2*P4</f>
        <v>118.09505736258234</v>
      </c>
      <c r="J267" s="68">
        <f>(1/1072.7)*105730.14*1.2*P4</f>
        <v>146.49807756143127</v>
      </c>
      <c r="K267" s="67">
        <f>(1/1072.7)*45313.5*1.2*P4</f>
        <v>62.785697981483004</v>
      </c>
      <c r="L267" s="34" t="s">
        <v>131</v>
      </c>
    </row>
    <row r="268" spans="1:12" s="53" customFormat="1" ht="20.100000000000001" customHeight="1" thickBot="1" x14ac:dyDescent="0.3">
      <c r="A268" s="327"/>
      <c r="B268" s="323"/>
      <c r="C268" s="64">
        <f>C267+C266</f>
        <v>187.15932933182867</v>
      </c>
      <c r="D268" s="64">
        <f t="shared" ref="D268:K268" si="147">D267+D266</f>
        <v>168.32251886022914</v>
      </c>
      <c r="E268" s="64">
        <f t="shared" si="147"/>
        <v>122.47929683617824</v>
      </c>
      <c r="F268" s="64">
        <f t="shared" si="147"/>
        <v>92.895650516188837</v>
      </c>
      <c r="G268" s="64">
        <f t="shared" si="147"/>
        <v>94.305177877053936</v>
      </c>
      <c r="H268" s="64">
        <f t="shared" si="147"/>
        <v>92.895650516188837</v>
      </c>
      <c r="I268" s="64">
        <f t="shared" si="147"/>
        <v>124.94785870498934</v>
      </c>
      <c r="J268" s="64">
        <f t="shared" si="147"/>
        <v>147.99523426880518</v>
      </c>
      <c r="K268" s="64">
        <f t="shared" si="147"/>
        <v>64.282854688856915</v>
      </c>
      <c r="L268" s="34" t="s">
        <v>131</v>
      </c>
    </row>
    <row r="269" spans="1:12" s="53" customFormat="1" ht="20.100000000000001" customHeight="1" thickBot="1" x14ac:dyDescent="0.3">
      <c r="A269" s="328"/>
      <c r="B269" s="265" t="s">
        <v>212</v>
      </c>
      <c r="C269" s="94">
        <f>SUM(C264:C267)</f>
        <v>7144.5955223416659</v>
      </c>
      <c r="D269" s="94">
        <f t="shared" ref="D269:K269" si="148">SUM(D264:D267)</f>
        <v>7593.7116878261886</v>
      </c>
      <c r="E269" s="94">
        <f t="shared" si="148"/>
        <v>1128.5997298096936</v>
      </c>
      <c r="F269" s="94">
        <f t="shared" si="148"/>
        <v>698.86564221936942</v>
      </c>
      <c r="G269" s="94">
        <f t="shared" si="148"/>
        <v>1666.7113002590247</v>
      </c>
      <c r="H269" s="94">
        <f t="shared" si="148"/>
        <v>586.70145554656392</v>
      </c>
      <c r="I269" s="94">
        <f t="shared" si="148"/>
        <v>3300.3258154904124</v>
      </c>
      <c r="J269" s="94">
        <f t="shared" si="148"/>
        <v>4304.0862436214475</v>
      </c>
      <c r="K269" s="94">
        <f t="shared" si="148"/>
        <v>1091.4762578974801</v>
      </c>
      <c r="L269" s="37" t="s">
        <v>131</v>
      </c>
    </row>
    <row r="270" spans="1:12" s="53" customFormat="1" ht="20.100000000000001" hidden="1" customHeight="1" thickBot="1" x14ac:dyDescent="0.3">
      <c r="A270" s="327" t="s">
        <v>954</v>
      </c>
      <c r="B270" s="321" t="s">
        <v>22</v>
      </c>
      <c r="C270" s="9">
        <v>4097.6893114355244</v>
      </c>
      <c r="D270" s="9">
        <v>7255.3680516279082</v>
      </c>
      <c r="E270" s="9">
        <v>685.39293309002437</v>
      </c>
      <c r="F270" s="9">
        <v>392.40992153284674</v>
      </c>
      <c r="G270" s="9">
        <v>899.97293146796426</v>
      </c>
      <c r="H270" s="9">
        <v>300.84137307380377</v>
      </c>
      <c r="I270" s="9">
        <v>2038.3388663828061</v>
      </c>
      <c r="J270" s="9">
        <v>2585.7385583941609</v>
      </c>
      <c r="K270" s="9">
        <v>590.04015652879161</v>
      </c>
      <c r="L270" s="20" t="s">
        <v>131</v>
      </c>
    </row>
    <row r="271" spans="1:12" s="53" customFormat="1" ht="20.100000000000001" customHeight="1" x14ac:dyDescent="0.25">
      <c r="A271" s="327"/>
      <c r="B271" s="322"/>
      <c r="C271" s="10">
        <f>C270/14.06*19.53*1.039</f>
        <v>5913.8662354322114</v>
      </c>
      <c r="D271" s="10">
        <f t="shared" ref="D271:K271" si="149">D270/14.06*19.53*1.039</f>
        <v>10471.090628177559</v>
      </c>
      <c r="E271" s="10">
        <f t="shared" si="149"/>
        <v>989.17263290148321</v>
      </c>
      <c r="F271" s="10">
        <f t="shared" si="149"/>
        <v>566.33375764369987</v>
      </c>
      <c r="G271" s="10">
        <f t="shared" si="149"/>
        <v>1298.8587293229407</v>
      </c>
      <c r="H271" s="10">
        <f t="shared" si="149"/>
        <v>434.18021797727681</v>
      </c>
      <c r="I271" s="10">
        <f t="shared" si="149"/>
        <v>2941.770954823186</v>
      </c>
      <c r="J271" s="10">
        <f t="shared" si="149"/>
        <v>3731.7890137418235</v>
      </c>
      <c r="K271" s="10">
        <f t="shared" si="149"/>
        <v>851.55762041469302</v>
      </c>
      <c r="L271" s="26" t="s">
        <v>131</v>
      </c>
    </row>
    <row r="272" spans="1:12" s="51" customFormat="1" ht="20.100000000000001" customHeight="1" x14ac:dyDescent="0.25">
      <c r="A272" s="327"/>
      <c r="B272" s="322"/>
      <c r="C272" s="16">
        <f>C271*0.0214</f>
        <v>126.55673743824931</v>
      </c>
      <c r="D272" s="16">
        <f t="shared" ref="D272:K272" si="150">D271*0.0214</f>
        <v>224.08133944299973</v>
      </c>
      <c r="E272" s="16">
        <f t="shared" si="150"/>
        <v>21.168294344091741</v>
      </c>
      <c r="F272" s="16">
        <f t="shared" si="150"/>
        <v>12.119542413575177</v>
      </c>
      <c r="G272" s="16">
        <f t="shared" si="150"/>
        <v>27.79557680751093</v>
      </c>
      <c r="H272" s="16">
        <f t="shared" si="150"/>
        <v>9.2914566647137224</v>
      </c>
      <c r="I272" s="16">
        <f t="shared" si="150"/>
        <v>62.953898433216175</v>
      </c>
      <c r="J272" s="16">
        <f t="shared" si="150"/>
        <v>79.860284894075022</v>
      </c>
      <c r="K272" s="16">
        <f t="shared" si="150"/>
        <v>18.223333076874429</v>
      </c>
      <c r="L272" s="31" t="s">
        <v>131</v>
      </c>
    </row>
    <row r="273" spans="1:12" s="51" customFormat="1" ht="20.100000000000001" hidden="1" customHeight="1" x14ac:dyDescent="0.25">
      <c r="A273" s="327"/>
      <c r="B273" s="322"/>
      <c r="C273" s="16">
        <f>12634/1634.9</f>
        <v>7.727689766958223</v>
      </c>
      <c r="D273" s="16">
        <f>9416/600</f>
        <v>15.693333333333333</v>
      </c>
      <c r="E273" s="16">
        <f>4649/1634.9</f>
        <v>2.8435989968805431</v>
      </c>
      <c r="F273" s="16">
        <f>10396/2/1634.9</f>
        <v>3.179399351642302</v>
      </c>
      <c r="G273" s="16">
        <f>7466/1634.9</f>
        <v>4.5666401614777659</v>
      </c>
      <c r="H273" s="16">
        <f>F273</f>
        <v>3.179399351642302</v>
      </c>
      <c r="I273" s="16">
        <f>18455/1634.9</f>
        <v>11.288152180561502</v>
      </c>
      <c r="J273" s="16">
        <f>2375/1634.9</f>
        <v>1.4526882378127102</v>
      </c>
      <c r="K273" s="16">
        <f>J273</f>
        <v>1.4526882378127102</v>
      </c>
      <c r="L273" s="31" t="s">
        <v>131</v>
      </c>
    </row>
    <row r="274" spans="1:12" s="53" customFormat="1" ht="20.100000000000001" hidden="1" customHeight="1" thickBot="1" x14ac:dyDescent="0.3">
      <c r="A274" s="327"/>
      <c r="B274" s="322"/>
      <c r="C274" s="18">
        <f>(1/1479.6)*136054.74*1.2*P4</f>
        <v>136.67237869035728</v>
      </c>
      <c r="D274" s="18">
        <f>(1/1479.6)*47618.7*1.2*P4</f>
        <v>47.834871457933154</v>
      </c>
      <c r="E274" s="18">
        <f>(1/1479.6)*90702.48*1.2*P4</f>
        <v>91.11423603995388</v>
      </c>
      <c r="F274" s="19">
        <f>(1/1479.6)*68026.86*1.2*P4</f>
        <v>68.335677029965424</v>
      </c>
      <c r="G274" s="19">
        <f>(1/1479.6)*68026.86*1.2*P4</f>
        <v>68.335677029965424</v>
      </c>
      <c r="H274" s="19">
        <f>(1/1479.6)*68026.86*1.2*P4</f>
        <v>68.335677029965424</v>
      </c>
      <c r="I274" s="19">
        <f>(1/1479.6)*89569.26*1.2*P4</f>
        <v>89.975871636188998</v>
      </c>
      <c r="J274" s="19">
        <f>(1/1479.6)*111110.64*1.2*P4</f>
        <v>111.61504161198617</v>
      </c>
      <c r="K274" s="18">
        <f>(1/1479.6)*47618.7*1.2*P4</f>
        <v>47.834871457933154</v>
      </c>
      <c r="L274" s="34" t="s">
        <v>131</v>
      </c>
    </row>
    <row r="275" spans="1:12" s="53" customFormat="1" ht="20.100000000000001" customHeight="1" thickBot="1" x14ac:dyDescent="0.3">
      <c r="A275" s="327"/>
      <c r="B275" s="323"/>
      <c r="C275" s="18">
        <f>C274+C273</f>
        <v>144.40006845731551</v>
      </c>
      <c r="D275" s="18">
        <f t="shared" ref="D275:K275" si="151">D274+D273</f>
        <v>63.528204791266489</v>
      </c>
      <c r="E275" s="18">
        <f t="shared" si="151"/>
        <v>93.957835036834425</v>
      </c>
      <c r="F275" s="18">
        <f t="shared" si="151"/>
        <v>71.515076381607727</v>
      </c>
      <c r="G275" s="18">
        <f t="shared" si="151"/>
        <v>72.902317191443188</v>
      </c>
      <c r="H275" s="18">
        <f t="shared" si="151"/>
        <v>71.515076381607727</v>
      </c>
      <c r="I275" s="18">
        <f t="shared" si="151"/>
        <v>101.26402381675049</v>
      </c>
      <c r="J275" s="18">
        <f t="shared" si="151"/>
        <v>113.06772984979888</v>
      </c>
      <c r="K275" s="18">
        <f t="shared" si="151"/>
        <v>49.287559695745863</v>
      </c>
      <c r="L275" s="34" t="s">
        <v>131</v>
      </c>
    </row>
    <row r="276" spans="1:12" s="53" customFormat="1" ht="20.100000000000001" customHeight="1" thickBot="1" x14ac:dyDescent="0.3">
      <c r="A276" s="328"/>
      <c r="B276" s="259" t="s">
        <v>212</v>
      </c>
      <c r="C276" s="36">
        <f>SUM(C271:C274)</f>
        <v>6184.8230413277761</v>
      </c>
      <c r="D276" s="36">
        <f t="shared" ref="D276:K276" si="152">SUM(D271:D274)</f>
        <v>10758.700172411825</v>
      </c>
      <c r="E276" s="36">
        <f t="shared" si="152"/>
        <v>1104.2987622824094</v>
      </c>
      <c r="F276" s="36">
        <f t="shared" si="152"/>
        <v>649.96837643888273</v>
      </c>
      <c r="G276" s="36">
        <f t="shared" si="152"/>
        <v>1399.5566233218949</v>
      </c>
      <c r="H276" s="36">
        <f t="shared" si="152"/>
        <v>514.98675102359823</v>
      </c>
      <c r="I276" s="36">
        <f t="shared" si="152"/>
        <v>3105.9888770731527</v>
      </c>
      <c r="J276" s="36">
        <f t="shared" si="152"/>
        <v>3924.7170284856975</v>
      </c>
      <c r="K276" s="36">
        <f t="shared" si="152"/>
        <v>919.06851318731321</v>
      </c>
      <c r="L276" s="37" t="s">
        <v>131</v>
      </c>
    </row>
    <row r="277" spans="1:12" s="53" customFormat="1" ht="20.100000000000001" hidden="1" customHeight="1" thickBot="1" x14ac:dyDescent="0.3">
      <c r="A277" s="327" t="s">
        <v>955</v>
      </c>
      <c r="B277" s="321" t="s">
        <v>23</v>
      </c>
      <c r="C277" s="9">
        <v>3547.6611264949406</v>
      </c>
      <c r="D277" s="9">
        <v>5033.7992027115915</v>
      </c>
      <c r="E277" s="9">
        <v>540.36003311867546</v>
      </c>
      <c r="F277" s="9">
        <v>376.29666513339498</v>
      </c>
      <c r="G277" s="9">
        <v>572.20520423183041</v>
      </c>
      <c r="H277" s="9">
        <v>437.22161729530865</v>
      </c>
      <c r="I277" s="9">
        <v>1397.5307241100393</v>
      </c>
      <c r="J277" s="9">
        <v>1728.6838482060668</v>
      </c>
      <c r="K277" s="9">
        <v>386.6414986200549</v>
      </c>
      <c r="L277" s="20" t="s">
        <v>131</v>
      </c>
    </row>
    <row r="278" spans="1:12" s="53" customFormat="1" ht="20.100000000000001" customHeight="1" x14ac:dyDescent="0.25">
      <c r="A278" s="327"/>
      <c r="B278" s="322"/>
      <c r="C278" s="10">
        <f>C277/14.06*19.53*1.039</f>
        <v>5120.0546835464847</v>
      </c>
      <c r="D278" s="10">
        <f t="shared" ref="D278:K278" si="153">D277/14.06*19.53*1.039</f>
        <v>7264.8785396647745</v>
      </c>
      <c r="E278" s="10">
        <f t="shared" si="153"/>
        <v>779.8582840137434</v>
      </c>
      <c r="F278" s="10">
        <f t="shared" si="153"/>
        <v>543.07878741019601</v>
      </c>
      <c r="G278" s="10">
        <f t="shared" si="153"/>
        <v>825.81786461983666</v>
      </c>
      <c r="H278" s="10">
        <f t="shared" si="153"/>
        <v>631.00688300303671</v>
      </c>
      <c r="I278" s="10">
        <f t="shared" si="153"/>
        <v>2016.9439735776641</v>
      </c>
      <c r="J278" s="10">
        <f t="shared" si="153"/>
        <v>2494.8707099664007</v>
      </c>
      <c r="K278" s="10">
        <f t="shared" si="153"/>
        <v>558.00865564037042</v>
      </c>
      <c r="L278" s="26" t="s">
        <v>131</v>
      </c>
    </row>
    <row r="279" spans="1:12" s="51" customFormat="1" ht="20.100000000000001" customHeight="1" x14ac:dyDescent="0.25">
      <c r="A279" s="327"/>
      <c r="B279" s="322"/>
      <c r="C279" s="16">
        <f>C278*0.0214</f>
        <v>109.56917022789477</v>
      </c>
      <c r="D279" s="16">
        <f t="shared" ref="D279:K279" si="154">D278*0.0214</f>
        <v>155.46840074882616</v>
      </c>
      <c r="E279" s="16">
        <f t="shared" si="154"/>
        <v>16.688967277894108</v>
      </c>
      <c r="F279" s="16">
        <f t="shared" si="154"/>
        <v>11.621886050578194</v>
      </c>
      <c r="G279" s="16">
        <f t="shared" si="154"/>
        <v>17.672502302864505</v>
      </c>
      <c r="H279" s="16">
        <f t="shared" si="154"/>
        <v>13.503547296264985</v>
      </c>
      <c r="I279" s="16">
        <f t="shared" si="154"/>
        <v>43.162601034562009</v>
      </c>
      <c r="J279" s="16">
        <f t="shared" si="154"/>
        <v>53.39023319328097</v>
      </c>
      <c r="K279" s="16">
        <f t="shared" si="154"/>
        <v>11.941385230703926</v>
      </c>
      <c r="L279" s="31" t="s">
        <v>131</v>
      </c>
    </row>
    <row r="280" spans="1:12" s="51" customFormat="1" ht="20.100000000000001" hidden="1" customHeight="1" x14ac:dyDescent="0.25">
      <c r="A280" s="327"/>
      <c r="B280" s="322"/>
      <c r="C280" s="16">
        <f>10617/1521.8</f>
        <v>6.9766066500197139</v>
      </c>
      <c r="D280" s="16">
        <f>7919/381</f>
        <v>20.784776902887138</v>
      </c>
      <c r="E280" s="16">
        <f>4337/1521.8</f>
        <v>2.8499145748455779</v>
      </c>
      <c r="F280" s="16">
        <f>9689/2/1521.8</f>
        <v>3.1834012353791565</v>
      </c>
      <c r="G280" s="16">
        <f>6960/1521.8</f>
        <v>4.5735313444605072</v>
      </c>
      <c r="H280" s="16">
        <f>F280</f>
        <v>3.1834012353791565</v>
      </c>
      <c r="I280" s="16">
        <f>10371/1521.8</f>
        <v>6.8149559731896439</v>
      </c>
      <c r="J280" s="16">
        <f>2014/1521.8</f>
        <v>1.3234327769746352</v>
      </c>
      <c r="K280" s="16">
        <f>J280</f>
        <v>1.3234327769746352</v>
      </c>
      <c r="L280" s="31" t="s">
        <v>131</v>
      </c>
    </row>
    <row r="281" spans="1:12" s="53" customFormat="1" ht="20.100000000000001" hidden="1" customHeight="1" thickBot="1" x14ac:dyDescent="0.3">
      <c r="A281" s="327"/>
      <c r="B281" s="322"/>
      <c r="C281" s="18">
        <f>(1/1521.8)*190710.42*1.2*P4</f>
        <v>186.26370693321618</v>
      </c>
      <c r="D281" s="18">
        <f>(1/1521.8)*162103.5*1.2*P4</f>
        <v>158.32380221724966</v>
      </c>
      <c r="E281" s="18">
        <f>(1/1521.8)*127139.94*1.2*P4</f>
        <v>124.17547254977831</v>
      </c>
      <c r="F281" s="18">
        <f>(1/1521.8)*95354.7*1.2*P4</f>
        <v>93.131355358059352</v>
      </c>
      <c r="G281" s="18">
        <f>(1/1521.8)*95354.7*1.2*P4</f>
        <v>93.131355358059352</v>
      </c>
      <c r="H281" s="18">
        <f>(1/1521.8)*95354.7*1.2*P4</f>
        <v>93.131355358059352</v>
      </c>
      <c r="I281" s="19">
        <f>(1/1521.8)*125550.78*1.2*P4</f>
        <v>122.62336631190209</v>
      </c>
      <c r="J281" s="19">
        <f>(1/1521.8)*155746.86*1.2*P4</f>
        <v>152.11537726574483</v>
      </c>
      <c r="K281" s="18">
        <f>(1/1521.8)*66748.8*1.2*P4</f>
        <v>65.192446859190298</v>
      </c>
      <c r="L281" s="34" t="s">
        <v>131</v>
      </c>
    </row>
    <row r="282" spans="1:12" s="53" customFormat="1" ht="20.100000000000001" customHeight="1" thickBot="1" x14ac:dyDescent="0.3">
      <c r="A282" s="327"/>
      <c r="B282" s="323"/>
      <c r="C282" s="18">
        <f>C281+C280</f>
        <v>193.24031358323589</v>
      </c>
      <c r="D282" s="18">
        <f t="shared" ref="D282:K282" si="155">D281+D280</f>
        <v>179.1085791201368</v>
      </c>
      <c r="E282" s="18">
        <f t="shared" si="155"/>
        <v>127.02538712462389</v>
      </c>
      <c r="F282" s="18">
        <f t="shared" si="155"/>
        <v>96.314756593438503</v>
      </c>
      <c r="G282" s="18">
        <f t="shared" si="155"/>
        <v>97.704886702519858</v>
      </c>
      <c r="H282" s="18">
        <f t="shared" si="155"/>
        <v>96.314756593438503</v>
      </c>
      <c r="I282" s="18">
        <f t="shared" si="155"/>
        <v>129.43832228509174</v>
      </c>
      <c r="J282" s="18">
        <f t="shared" si="155"/>
        <v>153.43881004271947</v>
      </c>
      <c r="K282" s="18">
        <f t="shared" si="155"/>
        <v>66.515879636164939</v>
      </c>
      <c r="L282" s="34" t="s">
        <v>131</v>
      </c>
    </row>
    <row r="283" spans="1:12" s="53" customFormat="1" ht="20.100000000000001" customHeight="1" thickBot="1" x14ac:dyDescent="0.3">
      <c r="A283" s="328"/>
      <c r="B283" s="259" t="s">
        <v>212</v>
      </c>
      <c r="C283" s="36">
        <f>SUM(C278:C281)</f>
        <v>5422.8641673576149</v>
      </c>
      <c r="D283" s="36">
        <f t="shared" ref="D283:K283" si="156">SUM(D278:D281)</f>
        <v>7599.4555195337371</v>
      </c>
      <c r="E283" s="36">
        <f t="shared" si="156"/>
        <v>923.57263841626138</v>
      </c>
      <c r="F283" s="36">
        <f t="shared" si="156"/>
        <v>651.01543005421263</v>
      </c>
      <c r="G283" s="36">
        <f t="shared" si="156"/>
        <v>941.19525362522108</v>
      </c>
      <c r="H283" s="36">
        <f t="shared" si="156"/>
        <v>740.82518689274025</v>
      </c>
      <c r="I283" s="36">
        <f t="shared" si="156"/>
        <v>2189.5448968973178</v>
      </c>
      <c r="J283" s="36">
        <f t="shared" si="156"/>
        <v>2701.6997532024011</v>
      </c>
      <c r="K283" s="36">
        <f t="shared" si="156"/>
        <v>636.46592050723928</v>
      </c>
      <c r="L283" s="37" t="s">
        <v>131</v>
      </c>
    </row>
    <row r="284" spans="1:12" s="53" customFormat="1" ht="20.100000000000001" hidden="1" customHeight="1" thickBot="1" x14ac:dyDescent="0.3">
      <c r="A284" s="327" t="s">
        <v>956</v>
      </c>
      <c r="B284" s="321" t="s">
        <v>148</v>
      </c>
      <c r="C284" s="9">
        <v>3536.0672109677421</v>
      </c>
      <c r="D284" s="9">
        <v>7466.6990920303615</v>
      </c>
      <c r="E284" s="9">
        <v>539.30890224767802</v>
      </c>
      <c r="F284" s="9">
        <v>375.5647194052886</v>
      </c>
      <c r="G284" s="9">
        <v>570.49275048698667</v>
      </c>
      <c r="H284" s="9">
        <v>436.38312456539205</v>
      </c>
      <c r="I284" s="9">
        <v>1394.8122769082113</v>
      </c>
      <c r="J284" s="9">
        <v>1726.6129224429424</v>
      </c>
      <c r="K284" s="9">
        <v>385.89496843873314</v>
      </c>
      <c r="L284" s="69" t="s">
        <v>131</v>
      </c>
    </row>
    <row r="285" spans="1:12" s="53" customFormat="1" ht="20.100000000000001" customHeight="1" x14ac:dyDescent="0.25">
      <c r="A285" s="327"/>
      <c r="B285" s="322"/>
      <c r="C285" s="10">
        <f>C284/14.06*19.53*1.039</f>
        <v>5103.322115418051</v>
      </c>
      <c r="D285" s="10">
        <f t="shared" ref="D285:K285" si="157">D284/14.06*19.53*1.039</f>
        <v>10776.087764209084</v>
      </c>
      <c r="E285" s="10">
        <f t="shared" si="157"/>
        <v>778.34127115733577</v>
      </c>
      <c r="F285" s="10">
        <f t="shared" si="157"/>
        <v>542.02242886306635</v>
      </c>
      <c r="G285" s="10">
        <f t="shared" si="157"/>
        <v>823.34641751595109</v>
      </c>
      <c r="H285" s="10">
        <f t="shared" si="157"/>
        <v>629.79675371620397</v>
      </c>
      <c r="I285" s="10">
        <f t="shared" si="157"/>
        <v>2013.0206568257499</v>
      </c>
      <c r="J285" s="10">
        <f t="shared" si="157"/>
        <v>2491.8819089578792</v>
      </c>
      <c r="K285" s="10">
        <f t="shared" si="157"/>
        <v>556.9312485219906</v>
      </c>
      <c r="L285" s="26" t="s">
        <v>131</v>
      </c>
    </row>
    <row r="286" spans="1:12" s="51" customFormat="1" ht="20.100000000000001" customHeight="1" x14ac:dyDescent="0.25">
      <c r="A286" s="327"/>
      <c r="B286" s="322"/>
      <c r="C286" s="16">
        <f>C285*0.0214</f>
        <v>109.21109326994629</v>
      </c>
      <c r="D286" s="16">
        <f t="shared" ref="D286:K286" si="158">D285*0.0214</f>
        <v>230.60827815407438</v>
      </c>
      <c r="E286" s="16">
        <f t="shared" si="158"/>
        <v>16.656503202766984</v>
      </c>
      <c r="F286" s="16">
        <f t="shared" si="158"/>
        <v>11.599279977669619</v>
      </c>
      <c r="G286" s="16">
        <f t="shared" si="158"/>
        <v>17.619613334841354</v>
      </c>
      <c r="H286" s="16">
        <f t="shared" si="158"/>
        <v>13.477650529526764</v>
      </c>
      <c r="I286" s="16">
        <f t="shared" si="158"/>
        <v>43.078642056071047</v>
      </c>
      <c r="J286" s="16">
        <f t="shared" si="158"/>
        <v>53.326272851698612</v>
      </c>
      <c r="K286" s="16">
        <f t="shared" si="158"/>
        <v>11.918328718370597</v>
      </c>
      <c r="L286" s="31" t="s">
        <v>131</v>
      </c>
    </row>
    <row r="287" spans="1:12" s="51" customFormat="1" ht="20.100000000000001" hidden="1" customHeight="1" x14ac:dyDescent="0.25">
      <c r="A287" s="327"/>
      <c r="B287" s="322"/>
      <c r="C287" s="16">
        <f>41042/5942.1</f>
        <v>6.9069857457801112</v>
      </c>
      <c r="D287" s="16">
        <f>30508/1486</f>
        <v>20.53028263795424</v>
      </c>
      <c r="E287" s="16">
        <f>16520/5942.1</f>
        <v>2.7801618956261254</v>
      </c>
      <c r="F287" s="16">
        <f>82705/2/5942.1</f>
        <v>6.9592399993268366</v>
      </c>
      <c r="G287" s="16">
        <f>74715/5942.1</f>
        <v>12.573837532185591</v>
      </c>
      <c r="H287" s="16">
        <f>F287</f>
        <v>6.9592399993268366</v>
      </c>
      <c r="I287" s="16">
        <f>106675/5942.1</f>
        <v>17.952407398057925</v>
      </c>
      <c r="J287" s="16">
        <f>7455/5942.1</f>
        <v>1.2546069571363658</v>
      </c>
      <c r="K287" s="16">
        <f>J287</f>
        <v>1.2546069571363658</v>
      </c>
      <c r="L287" s="31" t="s">
        <v>131</v>
      </c>
    </row>
    <row r="288" spans="1:12" s="53" customFormat="1" ht="20.100000000000001" hidden="1" customHeight="1" thickBot="1" x14ac:dyDescent="0.3">
      <c r="A288" s="327"/>
      <c r="B288" s="322"/>
      <c r="C288" s="18">
        <f>(1/1394.5)*188649*1.2*P4</f>
        <v>201.07005087580907</v>
      </c>
      <c r="D288" s="18">
        <f>(1/1394.5)*66027.66*1.2*P4</f>
        <v>70.375061386016483</v>
      </c>
      <c r="E288" s="18">
        <f>(1/1394.5)*125766*1.2*P4</f>
        <v>134.04670058387273</v>
      </c>
      <c r="F288" s="18">
        <f>(1/1394.5)*94324.5*1.2*P4</f>
        <v>100.53502543790454</v>
      </c>
      <c r="G288" s="19">
        <f>(1/1394.5)*94324.5*1.2*P4</f>
        <v>100.53502543790454</v>
      </c>
      <c r="H288" s="19">
        <f>(1/1394.5)*94324.5*1.2*P4</f>
        <v>100.53502543790454</v>
      </c>
      <c r="I288" s="19">
        <f>(1/1394.5)*124194.18*1.2*P4</f>
        <v>132.37138861631595</v>
      </c>
      <c r="J288" s="19">
        <f>(1/1394.5)*154063.86*1.2*P4</f>
        <v>164.20775179472739</v>
      </c>
      <c r="K288" s="18">
        <f>(1/1394.5)*66027.66*1.2*P4</f>
        <v>70.375061386016483</v>
      </c>
      <c r="L288" s="34" t="s">
        <v>131</v>
      </c>
    </row>
    <row r="289" spans="1:12" s="53" customFormat="1" ht="20.100000000000001" customHeight="1" thickBot="1" x14ac:dyDescent="0.3">
      <c r="A289" s="327"/>
      <c r="B289" s="323"/>
      <c r="C289" s="18">
        <f>C288+C287</f>
        <v>207.97703662158918</v>
      </c>
      <c r="D289" s="18">
        <f t="shared" ref="D289:K289" si="159">D288+D287</f>
        <v>90.905344023970727</v>
      </c>
      <c r="E289" s="18">
        <f t="shared" si="159"/>
        <v>136.82686247949886</v>
      </c>
      <c r="F289" s="18">
        <f t="shared" si="159"/>
        <v>107.49426543723138</v>
      </c>
      <c r="G289" s="18">
        <f t="shared" si="159"/>
        <v>113.10886297009013</v>
      </c>
      <c r="H289" s="18">
        <f t="shared" si="159"/>
        <v>107.49426543723138</v>
      </c>
      <c r="I289" s="18">
        <f t="shared" si="159"/>
        <v>150.32379601437387</v>
      </c>
      <c r="J289" s="18">
        <f t="shared" si="159"/>
        <v>165.46235875186375</v>
      </c>
      <c r="K289" s="18">
        <f t="shared" si="159"/>
        <v>71.629668343152844</v>
      </c>
      <c r="L289" s="34" t="s">
        <v>131</v>
      </c>
    </row>
    <row r="290" spans="1:12" s="53" customFormat="1" ht="20.100000000000001" customHeight="1" thickBot="1" x14ac:dyDescent="0.3">
      <c r="A290" s="328"/>
      <c r="B290" s="259" t="s">
        <v>212</v>
      </c>
      <c r="C290" s="36">
        <f>SUM(C285:C288)</f>
        <v>5420.510245309586</v>
      </c>
      <c r="D290" s="36">
        <f t="shared" ref="D290:K290" si="160">SUM(D285:D288)</f>
        <v>11097.601386387127</v>
      </c>
      <c r="E290" s="36">
        <f t="shared" si="160"/>
        <v>931.82463683960168</v>
      </c>
      <c r="F290" s="36">
        <f t="shared" si="160"/>
        <v>661.11597427796744</v>
      </c>
      <c r="G290" s="36">
        <f t="shared" si="160"/>
        <v>954.07489382088261</v>
      </c>
      <c r="H290" s="36">
        <f t="shared" si="160"/>
        <v>750.76866968296213</v>
      </c>
      <c r="I290" s="36">
        <f t="shared" si="160"/>
        <v>2206.4230948961949</v>
      </c>
      <c r="J290" s="36">
        <f t="shared" si="160"/>
        <v>2710.6705405614416</v>
      </c>
      <c r="K290" s="36">
        <f t="shared" si="160"/>
        <v>640.47924558351406</v>
      </c>
      <c r="L290" s="37" t="s">
        <v>131</v>
      </c>
    </row>
    <row r="291" spans="1:12" s="53" customFormat="1" ht="20.100000000000001" hidden="1" customHeight="1" thickBot="1" x14ac:dyDescent="0.3">
      <c r="A291" s="327" t="s">
        <v>957</v>
      </c>
      <c r="B291" s="321" t="s">
        <v>24</v>
      </c>
      <c r="C291" s="9">
        <v>3976.2932728611158</v>
      </c>
      <c r="D291" s="9">
        <v>5033.7992027115915</v>
      </c>
      <c r="E291" s="9">
        <v>448.56579425826703</v>
      </c>
      <c r="F291" s="9">
        <v>312.25708110437114</v>
      </c>
      <c r="G291" s="9">
        <v>730.18223241240094</v>
      </c>
      <c r="H291" s="9">
        <v>362.92740772846184</v>
      </c>
      <c r="I291" s="9">
        <v>1159.7372777686896</v>
      </c>
      <c r="J291" s="9">
        <v>1393.4469336687755</v>
      </c>
      <c r="K291" s="9">
        <v>320.84139457259062</v>
      </c>
      <c r="L291" s="20" t="s">
        <v>131</v>
      </c>
    </row>
    <row r="292" spans="1:12" s="51" customFormat="1" ht="20.100000000000001" customHeight="1" x14ac:dyDescent="0.25">
      <c r="A292" s="327"/>
      <c r="B292" s="322"/>
      <c r="C292" s="35">
        <f>C291/14.06*19.53*1.039</f>
        <v>5738.6650722701079</v>
      </c>
      <c r="D292" s="35">
        <f t="shared" ref="D292:K292" si="161">D291/14.06*19.53*1.039</f>
        <v>7264.8785396647745</v>
      </c>
      <c r="E292" s="35">
        <f t="shared" si="161"/>
        <v>647.37902349762783</v>
      </c>
      <c r="F292" s="35">
        <f t="shared" si="161"/>
        <v>450.65559352298254</v>
      </c>
      <c r="G292" s="35">
        <f t="shared" si="161"/>
        <v>1053.8134352756574</v>
      </c>
      <c r="H292" s="35">
        <f t="shared" si="161"/>
        <v>523.78401078103821</v>
      </c>
      <c r="I292" s="35">
        <f t="shared" si="161"/>
        <v>1673.755770069743</v>
      </c>
      <c r="J292" s="35">
        <f t="shared" si="161"/>
        <v>2011.050166466478</v>
      </c>
      <c r="K292" s="35">
        <f t="shared" si="161"/>
        <v>463.04464445283065</v>
      </c>
      <c r="L292" s="63" t="s">
        <v>131</v>
      </c>
    </row>
    <row r="293" spans="1:12" s="51" customFormat="1" ht="20.100000000000001" customHeight="1" x14ac:dyDescent="0.25">
      <c r="A293" s="327"/>
      <c r="B293" s="322"/>
      <c r="C293" s="35">
        <f>C292*0.0214</f>
        <v>122.8074325465803</v>
      </c>
      <c r="D293" s="35">
        <f t="shared" ref="D293:K293" si="162">D292*0.0214</f>
        <v>155.46840074882616</v>
      </c>
      <c r="E293" s="35">
        <f t="shared" si="162"/>
        <v>13.853911102849235</v>
      </c>
      <c r="F293" s="35">
        <f t="shared" si="162"/>
        <v>9.6440297013918261</v>
      </c>
      <c r="G293" s="35">
        <f t="shared" si="162"/>
        <v>22.551607514899068</v>
      </c>
      <c r="H293" s="35">
        <f t="shared" si="162"/>
        <v>11.208977830714216</v>
      </c>
      <c r="I293" s="35">
        <f t="shared" si="162"/>
        <v>35.8183734794925</v>
      </c>
      <c r="J293" s="35">
        <f t="shared" si="162"/>
        <v>43.036473562382625</v>
      </c>
      <c r="K293" s="35">
        <f t="shared" si="162"/>
        <v>9.9091553912905752</v>
      </c>
      <c r="L293" s="63" t="s">
        <v>131</v>
      </c>
    </row>
    <row r="294" spans="1:12" s="51" customFormat="1" ht="20.100000000000001" hidden="1" customHeight="1" x14ac:dyDescent="0.25">
      <c r="A294" s="327"/>
      <c r="B294" s="322"/>
      <c r="C294" s="16">
        <f>10684/1833.9</f>
        <v>5.8258356507988438</v>
      </c>
      <c r="D294" s="16">
        <f>7969/403</f>
        <v>19.774193548387096</v>
      </c>
      <c r="E294" s="16">
        <f>5197/1833.9</f>
        <v>2.8338513550357161</v>
      </c>
      <c r="F294" s="16">
        <f>11645/2/1833.9</f>
        <v>3.1749277496046675</v>
      </c>
      <c r="G294" s="16">
        <f>8358/1833.9</f>
        <v>4.5575004089645015</v>
      </c>
      <c r="H294" s="16">
        <f>F294</f>
        <v>3.1749277496046675</v>
      </c>
      <c r="I294" s="16">
        <f>20684/1833.9</f>
        <v>11.278695675882</v>
      </c>
      <c r="J294" s="16">
        <f>2026/1833.9</f>
        <v>1.1047494410818475</v>
      </c>
      <c r="K294" s="16">
        <f>J294</f>
        <v>1.1047494410818475</v>
      </c>
      <c r="L294" s="31" t="s">
        <v>131</v>
      </c>
    </row>
    <row r="295" spans="1:12" s="53" customFormat="1" ht="20.100000000000001" hidden="1" customHeight="1" thickBot="1" x14ac:dyDescent="0.3">
      <c r="A295" s="327"/>
      <c r="B295" s="322"/>
      <c r="C295" s="18">
        <f>(1/1833.9)*258039.6*1.2*P4</f>
        <v>209.13277900109341</v>
      </c>
      <c r="D295" s="18">
        <f>(1/1833.9)*219333.66*1.2*P4</f>
        <v>177.76286215092938</v>
      </c>
      <c r="E295" s="18">
        <f>(1/1833.9)*172026.06*1.2*P4</f>
        <v>139.42157710835406</v>
      </c>
      <c r="F295" s="18">
        <f>(1/1833.9)*129019.8*1.2*P4</f>
        <v>104.56638950054671</v>
      </c>
      <c r="G295" s="19">
        <f>(1/1833.9)*129019.8*1.2*P4</f>
        <v>104.56638950054671</v>
      </c>
      <c r="H295" s="19">
        <f>(1/1833.9)*129019.8*1.2*P4</f>
        <v>104.56638950054671</v>
      </c>
      <c r="I295" s="19">
        <f>(1/1833.9)*169875.9*1.2*P4</f>
        <v>137.67894172953237</v>
      </c>
      <c r="J295" s="19">
        <f>(1/1833.9)*90313.86*1.2*P4</f>
        <v>73.196472650382688</v>
      </c>
      <c r="K295" s="18">
        <f>(1/1833.9)*210732*1.2*P4</f>
        <v>170.79149395851806</v>
      </c>
      <c r="L295" s="34" t="s">
        <v>131</v>
      </c>
    </row>
    <row r="296" spans="1:12" s="53" customFormat="1" ht="20.100000000000001" customHeight="1" thickBot="1" x14ac:dyDescent="0.3">
      <c r="A296" s="327"/>
      <c r="B296" s="323"/>
      <c r="C296" s="18">
        <f>C295+C294</f>
        <v>214.95861465189225</v>
      </c>
      <c r="D296" s="18">
        <f t="shared" ref="D296:K296" si="163">D295+D294</f>
        <v>197.53705569931648</v>
      </c>
      <c r="E296" s="18">
        <f t="shared" si="163"/>
        <v>142.25542846338976</v>
      </c>
      <c r="F296" s="18">
        <f t="shared" si="163"/>
        <v>107.74131725015137</v>
      </c>
      <c r="G296" s="18">
        <f t="shared" si="163"/>
        <v>109.12388990951121</v>
      </c>
      <c r="H296" s="18">
        <f t="shared" si="163"/>
        <v>107.74131725015137</v>
      </c>
      <c r="I296" s="18">
        <f t="shared" si="163"/>
        <v>148.95763740541437</v>
      </c>
      <c r="J296" s="18">
        <f t="shared" si="163"/>
        <v>74.301222091464538</v>
      </c>
      <c r="K296" s="18">
        <f t="shared" si="163"/>
        <v>171.89624339959991</v>
      </c>
      <c r="L296" s="34" t="s">
        <v>131</v>
      </c>
    </row>
    <row r="297" spans="1:12" s="53" customFormat="1" ht="20.100000000000001" customHeight="1" thickBot="1" x14ac:dyDescent="0.3">
      <c r="A297" s="328"/>
      <c r="B297" s="265" t="s">
        <v>212</v>
      </c>
      <c r="C297" s="36">
        <f>SUM(C292:C295)</f>
        <v>6076.4311194685806</v>
      </c>
      <c r="D297" s="36">
        <f t="shared" ref="D297:K297" si="164">SUM(D292:D295)</f>
        <v>7617.883996112917</v>
      </c>
      <c r="E297" s="36">
        <f t="shared" si="164"/>
        <v>803.48836306386681</v>
      </c>
      <c r="F297" s="36">
        <f t="shared" si="164"/>
        <v>568.04094047452577</v>
      </c>
      <c r="G297" s="36">
        <f t="shared" si="164"/>
        <v>1185.4889327000676</v>
      </c>
      <c r="H297" s="36">
        <f t="shared" si="164"/>
        <v>642.73430586190375</v>
      </c>
      <c r="I297" s="36">
        <f t="shared" si="164"/>
        <v>1858.53178095465</v>
      </c>
      <c r="J297" s="36">
        <f t="shared" si="164"/>
        <v>2128.3878621203248</v>
      </c>
      <c r="K297" s="36">
        <f t="shared" si="164"/>
        <v>644.85004324372107</v>
      </c>
      <c r="L297" s="37" t="s">
        <v>131</v>
      </c>
    </row>
    <row r="298" spans="1:12" s="53" customFormat="1" ht="20.100000000000001" hidden="1" customHeight="1" thickBot="1" x14ac:dyDescent="0.25">
      <c r="A298" s="327" t="s">
        <v>958</v>
      </c>
      <c r="B298" s="321" t="s">
        <v>159</v>
      </c>
      <c r="C298" s="23">
        <v>5961.7983159512187</v>
      </c>
      <c r="D298" s="23">
        <v>6667.5932620738631</v>
      </c>
      <c r="E298" s="23">
        <v>885.06464575609766</v>
      </c>
      <c r="F298" s="23">
        <v>730.07360795121951</v>
      </c>
      <c r="G298" s="23">
        <v>1051.4881204390244</v>
      </c>
      <c r="H298" s="23">
        <v>405.19904429268297</v>
      </c>
      <c r="I298" s="23">
        <v>3861.5143539512196</v>
      </c>
      <c r="J298" s="23">
        <v>2194.6639608292685</v>
      </c>
      <c r="K298" s="23">
        <v>2062.9942968292685</v>
      </c>
      <c r="L298" s="21" t="s">
        <v>131</v>
      </c>
    </row>
    <row r="299" spans="1:12" s="53" customFormat="1" ht="20.100000000000001" customHeight="1" x14ac:dyDescent="0.25">
      <c r="A299" s="327"/>
      <c r="B299" s="322"/>
      <c r="C299" s="16">
        <f>C298/14.06*19.53*1.039</f>
        <v>8604.1852086655654</v>
      </c>
      <c r="D299" s="16">
        <f t="shared" ref="D299:K299" si="165">D298/14.06*19.53*1.039</f>
        <v>9622.8024301725691</v>
      </c>
      <c r="E299" s="16">
        <f t="shared" si="165"/>
        <v>1277.3427966109271</v>
      </c>
      <c r="F299" s="16">
        <f t="shared" si="165"/>
        <v>1053.6566663055137</v>
      </c>
      <c r="G299" s="16">
        <f t="shared" si="165"/>
        <v>1517.5284458655003</v>
      </c>
      <c r="H299" s="16">
        <f t="shared" si="165"/>
        <v>584.79127248239729</v>
      </c>
      <c r="I299" s="16">
        <f t="shared" si="165"/>
        <v>5573.013867044192</v>
      </c>
      <c r="J299" s="16">
        <f t="shared" si="165"/>
        <v>3167.3824220512406</v>
      </c>
      <c r="K299" s="16">
        <f t="shared" si="165"/>
        <v>2977.3541595406514</v>
      </c>
      <c r="L299" s="15" t="s">
        <v>131</v>
      </c>
    </row>
    <row r="300" spans="1:12" s="51" customFormat="1" ht="20.100000000000001" hidden="1" customHeight="1" x14ac:dyDescent="0.25">
      <c r="A300" s="327"/>
      <c r="B300" s="322"/>
      <c r="C300" s="16">
        <f>C299*0.0214</f>
        <v>184.12956346544308</v>
      </c>
      <c r="D300" s="16">
        <f t="shared" ref="D300:K300" si="166">D299*0.0214</f>
        <v>205.92797200569296</v>
      </c>
      <c r="E300" s="16">
        <f t="shared" si="166"/>
        <v>27.335135847473836</v>
      </c>
      <c r="F300" s="16">
        <f t="shared" si="166"/>
        <v>22.54825265893799</v>
      </c>
      <c r="G300" s="16">
        <f t="shared" si="166"/>
        <v>32.475108741521709</v>
      </c>
      <c r="H300" s="16">
        <f t="shared" si="166"/>
        <v>12.514533231123302</v>
      </c>
      <c r="I300" s="16">
        <f t="shared" si="166"/>
        <v>119.2624967547457</v>
      </c>
      <c r="J300" s="16">
        <f t="shared" si="166"/>
        <v>67.78198383189654</v>
      </c>
      <c r="K300" s="16">
        <f t="shared" si="166"/>
        <v>63.715379014169933</v>
      </c>
      <c r="L300" s="31" t="s">
        <v>131</v>
      </c>
    </row>
    <row r="301" spans="1:12" s="51" customFormat="1" ht="20.100000000000001" hidden="1" customHeight="1" x14ac:dyDescent="0.25">
      <c r="A301" s="327"/>
      <c r="B301" s="322"/>
      <c r="C301" s="16">
        <f>24159/4198.6</f>
        <v>5.754060877435335</v>
      </c>
      <c r="D301" s="16">
        <f>18063/840</f>
        <v>21.50357142857143</v>
      </c>
      <c r="E301" s="16">
        <f>11719/4198.6</f>
        <v>2.791168484733006</v>
      </c>
      <c r="F301" s="16">
        <f>58463/2/4198.6</f>
        <v>6.9622016862763774</v>
      </c>
      <c r="G301" s="16">
        <f>52818/4198.6</f>
        <v>12.579907588243699</v>
      </c>
      <c r="H301" s="16">
        <f>F301</f>
        <v>6.9622016862763774</v>
      </c>
      <c r="I301" s="16">
        <f>62225/4198.6</f>
        <v>14.820416329252607</v>
      </c>
      <c r="J301" s="16">
        <f>4457/4198.6</f>
        <v>1.0615443242985756</v>
      </c>
      <c r="K301" s="16">
        <f>J301</f>
        <v>1.0615443242985756</v>
      </c>
      <c r="L301" s="31" t="s">
        <v>131</v>
      </c>
    </row>
    <row r="302" spans="1:12" s="53" customFormat="1" ht="20.100000000000001" customHeight="1" x14ac:dyDescent="0.25">
      <c r="A302" s="327"/>
      <c r="B302" s="322"/>
      <c r="C302" s="161">
        <f>(1/2050.3)*261543.3*1.2*P4</f>
        <v>189.59967406222961</v>
      </c>
      <c r="D302" s="158">
        <f>(1/2050.3)*91539.9*1.2*P4</f>
        <v>66.359701065517996</v>
      </c>
      <c r="E302" s="158">
        <f>(1/2050.3)*174362.88*1.2*P4</f>
        <v>126.40027565818608</v>
      </c>
      <c r="F302" s="158">
        <f>(1/2050.3)*130772.16*1.2*P4</f>
        <v>94.800206743639563</v>
      </c>
      <c r="G302" s="158">
        <f>(1/2050.3)*130772.16*1.2*P4</f>
        <v>94.800206743639563</v>
      </c>
      <c r="H302" s="159">
        <f>(1/2050.3)*130772.16*1.2*P4</f>
        <v>94.800206743639563</v>
      </c>
      <c r="I302" s="159">
        <f>(1/2050.3)*172183.14*1.2*P4</f>
        <v>124.82012432744887</v>
      </c>
      <c r="J302" s="159">
        <f>(1/2050.3)*213594.12*1.2*P4</f>
        <v>154.84004191125814</v>
      </c>
      <c r="K302" s="159">
        <f>(1/2050.3)*91539.9*1.2*P4</f>
        <v>66.359701065517996</v>
      </c>
      <c r="L302" s="26" t="s">
        <v>131</v>
      </c>
    </row>
    <row r="303" spans="1:12" s="53" customFormat="1" ht="20.100000000000001" customHeight="1" thickBot="1" x14ac:dyDescent="0.3">
      <c r="A303" s="327"/>
      <c r="B303" s="323"/>
      <c r="C303" s="162">
        <f>C302+C301</f>
        <v>195.35373493966495</v>
      </c>
      <c r="D303" s="162">
        <f t="shared" ref="D303:K303" si="167">D302+D301</f>
        <v>87.863272494089429</v>
      </c>
      <c r="E303" s="162">
        <f t="shared" si="167"/>
        <v>129.19144414291907</v>
      </c>
      <c r="F303" s="162">
        <f t="shared" si="167"/>
        <v>101.76240842991594</v>
      </c>
      <c r="G303" s="162">
        <f t="shared" si="167"/>
        <v>107.38011433188326</v>
      </c>
      <c r="H303" s="162">
        <f t="shared" si="167"/>
        <v>101.76240842991594</v>
      </c>
      <c r="I303" s="162">
        <f t="shared" si="167"/>
        <v>139.64054065670146</v>
      </c>
      <c r="J303" s="162">
        <f t="shared" si="167"/>
        <v>155.90158623555672</v>
      </c>
      <c r="K303" s="162">
        <f t="shared" si="167"/>
        <v>67.421245389816576</v>
      </c>
      <c r="L303" s="20" t="s">
        <v>131</v>
      </c>
    </row>
    <row r="304" spans="1:12" s="53" customFormat="1" ht="20.100000000000001" customHeight="1" thickBot="1" x14ac:dyDescent="0.3">
      <c r="A304" s="328"/>
      <c r="B304" s="265" t="s">
        <v>212</v>
      </c>
      <c r="C304" s="36">
        <f>SUM(C299:C302)</f>
        <v>8983.6685070706753</v>
      </c>
      <c r="D304" s="36">
        <f t="shared" ref="D304:K304" si="168">SUM(D299:D302)</f>
        <v>9916.593674672351</v>
      </c>
      <c r="E304" s="36">
        <f t="shared" si="168"/>
        <v>1433.8693766013198</v>
      </c>
      <c r="F304" s="36">
        <f t="shared" si="168"/>
        <v>1177.9673273943677</v>
      </c>
      <c r="G304" s="36">
        <f t="shared" si="168"/>
        <v>1657.3836689389054</v>
      </c>
      <c r="H304" s="36">
        <f t="shared" si="168"/>
        <v>699.06821414343653</v>
      </c>
      <c r="I304" s="36">
        <f t="shared" si="168"/>
        <v>5831.9169044556393</v>
      </c>
      <c r="J304" s="36">
        <f t="shared" si="168"/>
        <v>3391.0659921186939</v>
      </c>
      <c r="K304" s="36">
        <f t="shared" si="168"/>
        <v>3108.4907839446382</v>
      </c>
      <c r="L304" s="37" t="s">
        <v>131</v>
      </c>
    </row>
    <row r="305" spans="1:12" s="53" customFormat="1" ht="20.100000000000001" hidden="1" customHeight="1" thickBot="1" x14ac:dyDescent="0.3">
      <c r="A305" s="327" t="s">
        <v>959</v>
      </c>
      <c r="B305" s="321" t="s">
        <v>25</v>
      </c>
      <c r="C305" s="9">
        <v>5335.9458523874428</v>
      </c>
      <c r="D305" s="9">
        <v>7022.6859001074263</v>
      </c>
      <c r="E305" s="9">
        <v>771.31839673852221</v>
      </c>
      <c r="F305" s="9">
        <v>406.23483786050832</v>
      </c>
      <c r="G305" s="9" t="s">
        <v>131</v>
      </c>
      <c r="H305" s="9">
        <v>557.25507221406099</v>
      </c>
      <c r="I305" s="9">
        <v>3683.2848581173271</v>
      </c>
      <c r="J305" s="9">
        <v>2977.8780557330238</v>
      </c>
      <c r="K305" s="9" t="s">
        <v>131</v>
      </c>
      <c r="L305" s="20" t="s">
        <v>131</v>
      </c>
    </row>
    <row r="306" spans="1:12" s="53" customFormat="1" ht="20.100000000000001" customHeight="1" x14ac:dyDescent="0.25">
      <c r="A306" s="327"/>
      <c r="B306" s="322"/>
      <c r="C306" s="7">
        <f>C305/12.79*19.53*1.039</f>
        <v>8465.6178557087351</v>
      </c>
      <c r="D306" s="7">
        <f t="shared" ref="D306:J306" si="169">D305/12.79*19.53*1.039</f>
        <v>11141.675121081538</v>
      </c>
      <c r="E306" s="7">
        <f t="shared" si="169"/>
        <v>1223.7168390576364</v>
      </c>
      <c r="F306" s="7">
        <f t="shared" si="169"/>
        <v>644.50221050578114</v>
      </c>
      <c r="G306" s="7" t="s">
        <v>131</v>
      </c>
      <c r="H306" s="7">
        <f t="shared" si="169"/>
        <v>884.09976788067979</v>
      </c>
      <c r="I306" s="7">
        <f t="shared" si="169"/>
        <v>5843.6279012442246</v>
      </c>
      <c r="J306" s="7">
        <f t="shared" si="169"/>
        <v>4724.4815330082974</v>
      </c>
      <c r="K306" s="7" t="s">
        <v>131</v>
      </c>
      <c r="L306" s="8" t="s">
        <v>131</v>
      </c>
    </row>
    <row r="307" spans="1:12" s="51" customFormat="1" ht="20.100000000000001" customHeight="1" x14ac:dyDescent="0.25">
      <c r="A307" s="327"/>
      <c r="B307" s="322"/>
      <c r="C307" s="35">
        <f>C306*0.0214</f>
        <v>181.16422211216693</v>
      </c>
      <c r="D307" s="35">
        <f t="shared" ref="D307:J307" si="170">D306*0.0214</f>
        <v>238.4318475911449</v>
      </c>
      <c r="E307" s="35">
        <f t="shared" si="170"/>
        <v>26.18754035583342</v>
      </c>
      <c r="F307" s="35">
        <f t="shared" si="170"/>
        <v>13.792347304823716</v>
      </c>
      <c r="G307" s="35" t="s">
        <v>131</v>
      </c>
      <c r="H307" s="35">
        <f t="shared" si="170"/>
        <v>18.919735032646546</v>
      </c>
      <c r="I307" s="35">
        <f t="shared" si="170"/>
        <v>125.0536370866264</v>
      </c>
      <c r="J307" s="35">
        <f t="shared" si="170"/>
        <v>101.10390480637756</v>
      </c>
      <c r="K307" s="35" t="s">
        <v>131</v>
      </c>
      <c r="L307" s="63" t="s">
        <v>131</v>
      </c>
    </row>
    <row r="308" spans="1:12" s="51" customFormat="1" ht="20.100000000000001" hidden="1" customHeight="1" x14ac:dyDescent="0.25">
      <c r="A308" s="327"/>
      <c r="B308" s="322"/>
      <c r="C308" s="16">
        <f>6294/733</f>
        <v>8.5866302864938611</v>
      </c>
      <c r="D308" s="16">
        <f>4709/403</f>
        <v>11.684863523573201</v>
      </c>
      <c r="E308" s="16">
        <f>2161/733</f>
        <v>2.9481582537517053</v>
      </c>
      <c r="F308" s="16">
        <f>3424/2/733</f>
        <v>2.3356070941336973</v>
      </c>
      <c r="G308" s="16" t="s">
        <v>131</v>
      </c>
      <c r="H308" s="16">
        <f>F308</f>
        <v>2.3356070941336973</v>
      </c>
      <c r="I308" s="16">
        <f>5066/733</f>
        <v>6.9113233287858113</v>
      </c>
      <c r="J308" s="16">
        <f>1240/733</f>
        <v>1.6916780354706684</v>
      </c>
      <c r="K308" s="16" t="s">
        <v>131</v>
      </c>
      <c r="L308" s="31" t="s">
        <v>131</v>
      </c>
    </row>
    <row r="309" spans="1:12" s="53" customFormat="1" ht="20.100000000000001" hidden="1" customHeight="1" thickBot="1" x14ac:dyDescent="0.3">
      <c r="A309" s="327"/>
      <c r="B309" s="322"/>
      <c r="C309" s="17">
        <f>(1/733)*86600.04*1.2*P4</f>
        <v>175.60040651976732</v>
      </c>
      <c r="D309" s="18">
        <f>(1/733)*73610.34*1.2*P4</f>
        <v>149.26096602332157</v>
      </c>
      <c r="E309" s="18">
        <f>(1/733)*57733.02*1.2*P4</f>
        <v>117.0662482559345</v>
      </c>
      <c r="F309" s="19">
        <f>(1/733)*43300.02*1.2*P4</f>
        <v>87.800203259883659</v>
      </c>
      <c r="G309" s="19" t="s">
        <v>131</v>
      </c>
      <c r="H309" s="19">
        <f>(1/733)*43300.02*1.2*P4</f>
        <v>87.800203259883659</v>
      </c>
      <c r="I309" s="19">
        <f>(1/733)*57011.88*1.2*P4</f>
        <v>115.60398014199752</v>
      </c>
      <c r="J309" s="19">
        <f>(1/733)*70723.74*1.2*P4</f>
        <v>143.40775702411142</v>
      </c>
      <c r="K309" s="67" t="s">
        <v>131</v>
      </c>
      <c r="L309" s="70" t="s">
        <v>131</v>
      </c>
    </row>
    <row r="310" spans="1:12" s="53" customFormat="1" ht="20.100000000000001" customHeight="1" thickBot="1" x14ac:dyDescent="0.3">
      <c r="A310" s="327"/>
      <c r="B310" s="323"/>
      <c r="C310" s="17">
        <f>C309+C308</f>
        <v>184.18703680626118</v>
      </c>
      <c r="D310" s="17">
        <f t="shared" ref="D310:J310" si="171">D309+D308</f>
        <v>160.94582954689477</v>
      </c>
      <c r="E310" s="17">
        <f t="shared" si="171"/>
        <v>120.0144065096862</v>
      </c>
      <c r="F310" s="17">
        <f t="shared" si="171"/>
        <v>90.135810354017352</v>
      </c>
      <c r="G310" s="17" t="s">
        <v>131</v>
      </c>
      <c r="H310" s="17">
        <f t="shared" si="171"/>
        <v>90.135810354017352</v>
      </c>
      <c r="I310" s="17">
        <f t="shared" si="171"/>
        <v>122.51530347078334</v>
      </c>
      <c r="J310" s="17">
        <f t="shared" si="171"/>
        <v>145.09943505958208</v>
      </c>
      <c r="K310" s="18" t="s">
        <v>131</v>
      </c>
      <c r="L310" s="34" t="s">
        <v>131</v>
      </c>
    </row>
    <row r="311" spans="1:12" s="53" customFormat="1" ht="20.100000000000001" customHeight="1" x14ac:dyDescent="0.25">
      <c r="A311" s="327"/>
      <c r="B311" s="277" t="s">
        <v>212</v>
      </c>
      <c r="C311" s="13">
        <f>SUM(C306:C309)</f>
        <v>8830.9691146271634</v>
      </c>
      <c r="D311" s="13">
        <f t="shared" ref="D311:J311" si="172">SUM(D306:D309)</f>
        <v>11541.052798219576</v>
      </c>
      <c r="E311" s="13">
        <f t="shared" si="172"/>
        <v>1369.9187859231558</v>
      </c>
      <c r="F311" s="13">
        <f t="shared" si="172"/>
        <v>748.43036816462222</v>
      </c>
      <c r="G311" s="13" t="s">
        <v>131</v>
      </c>
      <c r="H311" s="13">
        <f t="shared" si="172"/>
        <v>993.15531326734379</v>
      </c>
      <c r="I311" s="13">
        <f t="shared" si="172"/>
        <v>6091.1968418016349</v>
      </c>
      <c r="J311" s="13">
        <f t="shared" si="172"/>
        <v>4970.6848728742571</v>
      </c>
      <c r="K311" s="38" t="s">
        <v>131</v>
      </c>
      <c r="L311" s="42" t="s">
        <v>131</v>
      </c>
    </row>
    <row r="312" spans="1:12" s="53" customFormat="1" ht="23.1" customHeight="1" x14ac:dyDescent="0.25">
      <c r="A312" s="314" t="s">
        <v>966</v>
      </c>
      <c r="B312" s="315"/>
      <c r="C312" s="315"/>
      <c r="D312" s="315"/>
      <c r="E312" s="315"/>
      <c r="F312" s="315"/>
      <c r="G312" s="315"/>
      <c r="H312" s="315"/>
      <c r="I312" s="315"/>
      <c r="J312" s="315"/>
      <c r="K312" s="315"/>
      <c r="L312" s="316"/>
    </row>
    <row r="313" spans="1:12" s="53" customFormat="1" ht="20.100000000000001" hidden="1" customHeight="1" thickBot="1" x14ac:dyDescent="0.3">
      <c r="A313" s="327" t="s">
        <v>960</v>
      </c>
      <c r="B313" s="322" t="s">
        <v>55</v>
      </c>
      <c r="C313" s="18">
        <v>5359.0722290970443</v>
      </c>
      <c r="D313" s="18">
        <v>8319.6983187500009</v>
      </c>
      <c r="E313" s="18">
        <v>810.39811029536088</v>
      </c>
      <c r="F313" s="18">
        <v>516.22139631166021</v>
      </c>
      <c r="G313" s="18">
        <v>1311.5668118827402</v>
      </c>
      <c r="H313" s="18">
        <v>556.74245595298964</v>
      </c>
      <c r="I313" s="18">
        <v>3139.9016501018973</v>
      </c>
      <c r="J313" s="18">
        <v>2729.3264950081207</v>
      </c>
      <c r="K313" s="18" t="s">
        <v>131</v>
      </c>
      <c r="L313" s="34" t="s">
        <v>131</v>
      </c>
    </row>
    <row r="314" spans="1:12" s="53" customFormat="1" ht="20.100000000000001" customHeight="1" x14ac:dyDescent="0.25">
      <c r="A314" s="327"/>
      <c r="B314" s="322"/>
      <c r="C314" s="10">
        <f>C313/13.19*19.53*1.039</f>
        <v>8244.4674131161191</v>
      </c>
      <c r="D314" s="10">
        <f t="shared" ref="D314:J314" si="173">D313/13.19*19.53*1.039</f>
        <v>12799.133645460943</v>
      </c>
      <c r="E314" s="10">
        <f t="shared" si="173"/>
        <v>1246.7271434978823</v>
      </c>
      <c r="F314" s="10">
        <f t="shared" si="173"/>
        <v>794.16180598145763</v>
      </c>
      <c r="G314" s="10">
        <f t="shared" si="173"/>
        <v>2017.7316853431878</v>
      </c>
      <c r="H314" s="10">
        <f t="shared" si="173"/>
        <v>856.49993867987882</v>
      </c>
      <c r="I314" s="10">
        <f t="shared" si="173"/>
        <v>4830.4661195089584</v>
      </c>
      <c r="J314" s="10">
        <f t="shared" si="173"/>
        <v>4198.8318846824441</v>
      </c>
      <c r="K314" s="10" t="s">
        <v>131</v>
      </c>
      <c r="L314" s="26" t="s">
        <v>131</v>
      </c>
    </row>
    <row r="315" spans="1:12" s="51" customFormat="1" ht="20.100000000000001" customHeight="1" x14ac:dyDescent="0.25">
      <c r="A315" s="327"/>
      <c r="B315" s="322"/>
      <c r="C315" s="16">
        <f>C314*0.0214</f>
        <v>176.43160264068493</v>
      </c>
      <c r="D315" s="16">
        <f t="shared" ref="D315:J315" si="174">D314*0.0214</f>
        <v>273.90146001286416</v>
      </c>
      <c r="E315" s="16">
        <f t="shared" si="174"/>
        <v>26.679960870854678</v>
      </c>
      <c r="F315" s="16">
        <f t="shared" si="174"/>
        <v>16.995062648003191</v>
      </c>
      <c r="G315" s="16">
        <f t="shared" si="174"/>
        <v>43.179458066344218</v>
      </c>
      <c r="H315" s="16">
        <f t="shared" si="174"/>
        <v>18.329098687749404</v>
      </c>
      <c r="I315" s="16">
        <f t="shared" si="174"/>
        <v>103.3719749574917</v>
      </c>
      <c r="J315" s="16">
        <f t="shared" si="174"/>
        <v>89.855002332204293</v>
      </c>
      <c r="K315" s="16" t="s">
        <v>131</v>
      </c>
      <c r="L315" s="31" t="s">
        <v>131</v>
      </c>
    </row>
    <row r="316" spans="1:12" s="51" customFormat="1" ht="20.100000000000001" hidden="1" customHeight="1" x14ac:dyDescent="0.25">
      <c r="A316" s="327"/>
      <c r="B316" s="322"/>
      <c r="C316" s="16">
        <f>5596/637.9</f>
        <v>8.7725348800752467</v>
      </c>
      <c r="D316" s="16">
        <f>4217/351</f>
        <v>12.014245014245015</v>
      </c>
      <c r="E316" s="16">
        <f>2045/637.9</f>
        <v>3.2058316350525162</v>
      </c>
      <c r="F316" s="16">
        <f>3099/2/637.9</f>
        <v>2.4290641166327012</v>
      </c>
      <c r="G316" s="16">
        <f>2813/637.9</f>
        <v>4.4097820975074464</v>
      </c>
      <c r="H316" s="16">
        <f>F316</f>
        <v>2.4290641166327012</v>
      </c>
      <c r="I316" s="16">
        <f>4528/637.9</f>
        <v>7.0982912682238597</v>
      </c>
      <c r="J316" s="16">
        <f>1198/637.9</f>
        <v>1.8780373099231855</v>
      </c>
      <c r="K316" s="16" t="s">
        <v>131</v>
      </c>
      <c r="L316" s="31" t="s">
        <v>131</v>
      </c>
    </row>
    <row r="317" spans="1:12" s="53" customFormat="1" ht="20.100000000000001" hidden="1" customHeight="1" thickBot="1" x14ac:dyDescent="0.3">
      <c r="A317" s="327"/>
      <c r="B317" s="322"/>
      <c r="C317" s="18">
        <f>(1/637.9)*85059.84*1.2*P4</f>
        <v>198.19073958109252</v>
      </c>
      <c r="D317" s="18">
        <f>(1/637.9)*72300.66*1.2*P4</f>
        <v>168.46165332078118</v>
      </c>
      <c r="E317" s="18">
        <f>(1/637.9)*56706.9*1.2*P4</f>
        <v>132.1279519259742</v>
      </c>
      <c r="F317" s="19">
        <f>(1/637.9)*42529.92*1.2*P4</f>
        <v>99.095369790546258</v>
      </c>
      <c r="G317" s="19">
        <f>(1/637.9)*42529.92*1.2*P4</f>
        <v>99.095369790546258</v>
      </c>
      <c r="H317" s="19">
        <f>(1/637.9)*42529.92*1.2*P4</f>
        <v>99.095369790546258</v>
      </c>
      <c r="I317" s="19">
        <f>(1/637.9)*55998*1.2*P4</f>
        <v>130.47620398841593</v>
      </c>
      <c r="J317" s="19">
        <f>(1/637.9)*69466.08*1.2*P4</f>
        <v>161.85703818628559</v>
      </c>
      <c r="K317" s="18" t="s">
        <v>131</v>
      </c>
      <c r="L317" s="34" t="s">
        <v>131</v>
      </c>
    </row>
    <row r="318" spans="1:12" s="53" customFormat="1" ht="24" customHeight="1" thickBot="1" x14ac:dyDescent="0.3">
      <c r="A318" s="327"/>
      <c r="B318" s="323"/>
      <c r="C318" s="18">
        <f>C317+C316</f>
        <v>206.96327446116777</v>
      </c>
      <c r="D318" s="18">
        <f t="shared" ref="D318:J318" si="175">D317+D316</f>
        <v>180.47589833502619</v>
      </c>
      <c r="E318" s="18">
        <f t="shared" si="175"/>
        <v>135.33378356102671</v>
      </c>
      <c r="F318" s="18">
        <f t="shared" si="175"/>
        <v>101.52443390717896</v>
      </c>
      <c r="G318" s="18">
        <f t="shared" si="175"/>
        <v>103.5051518880537</v>
      </c>
      <c r="H318" s="18">
        <f t="shared" si="175"/>
        <v>101.52443390717896</v>
      </c>
      <c r="I318" s="18">
        <f t="shared" si="175"/>
        <v>137.57449525663978</v>
      </c>
      <c r="J318" s="18">
        <f t="shared" si="175"/>
        <v>163.73507549620876</v>
      </c>
      <c r="K318" s="18" t="s">
        <v>131</v>
      </c>
      <c r="L318" s="34" t="s">
        <v>131</v>
      </c>
    </row>
    <row r="319" spans="1:12" s="53" customFormat="1" ht="20.100000000000001" customHeight="1" thickBot="1" x14ac:dyDescent="0.3">
      <c r="A319" s="328"/>
      <c r="B319" s="269" t="s">
        <v>212</v>
      </c>
      <c r="C319" s="36">
        <f>SUM(C314:C317)</f>
        <v>8627.8622902179723</v>
      </c>
      <c r="D319" s="36">
        <f t="shared" ref="D319:J319" si="176">SUM(D314:D317)</f>
        <v>13253.511003808833</v>
      </c>
      <c r="E319" s="36">
        <f t="shared" si="176"/>
        <v>1408.7408879297639</v>
      </c>
      <c r="F319" s="36">
        <f t="shared" si="176"/>
        <v>912.68130253663981</v>
      </c>
      <c r="G319" s="36">
        <f t="shared" si="176"/>
        <v>2164.4162952975857</v>
      </c>
      <c r="H319" s="36">
        <f t="shared" si="176"/>
        <v>976.35347127480713</v>
      </c>
      <c r="I319" s="36">
        <f t="shared" si="176"/>
        <v>5071.4125897230906</v>
      </c>
      <c r="J319" s="36">
        <f t="shared" si="176"/>
        <v>4452.4219625108572</v>
      </c>
      <c r="K319" s="36" t="s">
        <v>131</v>
      </c>
      <c r="L319" s="71" t="s">
        <v>131</v>
      </c>
    </row>
    <row r="320" spans="1:12" s="53" customFormat="1" ht="20.100000000000001" hidden="1" customHeight="1" thickBot="1" x14ac:dyDescent="0.3">
      <c r="A320" s="327" t="s">
        <v>961</v>
      </c>
      <c r="B320" s="321" t="s">
        <v>56</v>
      </c>
      <c r="C320" s="9">
        <v>4919.0310250805114</v>
      </c>
      <c r="D320" s="9">
        <v>4380.7437630573249</v>
      </c>
      <c r="E320" s="9">
        <v>799.4335988835727</v>
      </c>
      <c r="F320" s="9">
        <v>457.44892822966506</v>
      </c>
      <c r="G320" s="9">
        <v>2019.2685757575755</v>
      </c>
      <c r="H320" s="9">
        <v>334.15085566188202</v>
      </c>
      <c r="I320" s="9">
        <v>3669.97437400319</v>
      </c>
      <c r="J320" s="9">
        <v>3350.1340637958538</v>
      </c>
      <c r="K320" s="9">
        <v>713.75233732057404</v>
      </c>
      <c r="L320" s="20" t="s">
        <v>131</v>
      </c>
    </row>
    <row r="321" spans="1:12" s="53" customFormat="1" ht="22.5" customHeight="1" x14ac:dyDescent="0.25">
      <c r="A321" s="327"/>
      <c r="B321" s="322"/>
      <c r="C321" s="10">
        <f>C320/13.19*19.53*1.039</f>
        <v>7567.5022199162595</v>
      </c>
      <c r="D321" s="10">
        <f t="shared" ref="D321:K321" si="177">D320/13.19*19.53*1.039</f>
        <v>6739.3939950354379</v>
      </c>
      <c r="E321" s="10">
        <f t="shared" si="177"/>
        <v>1229.8591945002142</v>
      </c>
      <c r="F321" s="10">
        <f t="shared" si="177"/>
        <v>703.74546576876787</v>
      </c>
      <c r="G321" s="10">
        <f t="shared" si="177"/>
        <v>3106.4694147568407</v>
      </c>
      <c r="H321" s="10">
        <f t="shared" si="177"/>
        <v>514.06208440549972</v>
      </c>
      <c r="I321" s="10">
        <f t="shared" si="177"/>
        <v>5645.936990578416</v>
      </c>
      <c r="J321" s="10">
        <f t="shared" si="177"/>
        <v>5153.8904380822141</v>
      </c>
      <c r="K321" s="10">
        <f t="shared" si="177"/>
        <v>1098.0460114206046</v>
      </c>
      <c r="L321" s="26" t="s">
        <v>131</v>
      </c>
    </row>
    <row r="322" spans="1:12" s="51" customFormat="1" ht="20.100000000000001" customHeight="1" x14ac:dyDescent="0.25">
      <c r="A322" s="327"/>
      <c r="B322" s="322"/>
      <c r="C322" s="16">
        <f>C321*0.0214</f>
        <v>161.94454750620795</v>
      </c>
      <c r="D322" s="16">
        <f t="shared" ref="D322:K322" si="178">D321*0.0214</f>
        <v>144.22303149375836</v>
      </c>
      <c r="E322" s="16">
        <f t="shared" si="178"/>
        <v>26.318986762304583</v>
      </c>
      <c r="F322" s="16">
        <f t="shared" si="178"/>
        <v>15.060152967451632</v>
      </c>
      <c r="G322" s="16">
        <f t="shared" si="178"/>
        <v>66.478445475796391</v>
      </c>
      <c r="H322" s="16">
        <f t="shared" si="178"/>
        <v>11.000928606277693</v>
      </c>
      <c r="I322" s="16">
        <f t="shared" si="178"/>
        <v>120.8230515983781</v>
      </c>
      <c r="J322" s="16">
        <f t="shared" si="178"/>
        <v>110.29325537495937</v>
      </c>
      <c r="K322" s="16">
        <f t="shared" si="178"/>
        <v>23.498184644400936</v>
      </c>
      <c r="L322" s="31" t="s">
        <v>131</v>
      </c>
    </row>
    <row r="323" spans="1:12" s="51" customFormat="1" ht="20.100000000000001" hidden="1" customHeight="1" x14ac:dyDescent="0.25">
      <c r="A323" s="327"/>
      <c r="B323" s="322"/>
      <c r="C323" s="16">
        <f>3411/376.2</f>
        <v>9.0669856459330145</v>
      </c>
      <c r="D323" s="16">
        <f>2597/188</f>
        <v>13.813829787234043</v>
      </c>
      <c r="E323" s="16">
        <f>1287/376.2</f>
        <v>3.4210526315789473</v>
      </c>
      <c r="F323" s="16">
        <f>1431/2/376.2</f>
        <v>1.9019138755980862</v>
      </c>
      <c r="G323" s="16">
        <f>1262/376.2</f>
        <v>3.3545986177565128</v>
      </c>
      <c r="H323" s="16">
        <f>F323</f>
        <v>1.9019138755980862</v>
      </c>
      <c r="I323" s="16">
        <f>1768/376.2</f>
        <v>4.6996278575225947</v>
      </c>
      <c r="J323" s="16">
        <f>815/376.2</f>
        <v>2.1664008506113768</v>
      </c>
      <c r="K323" s="16">
        <f>J323</f>
        <v>2.1664008506113768</v>
      </c>
      <c r="L323" s="31" t="s">
        <v>131</v>
      </c>
    </row>
    <row r="324" spans="1:12" s="53" customFormat="1" ht="20.100000000000001" hidden="1" customHeight="1" thickBot="1" x14ac:dyDescent="0.3">
      <c r="A324" s="327"/>
      <c r="B324" s="322"/>
      <c r="C324" s="18">
        <f>(1/376.2)*80822.76*1.2*P4</f>
        <v>319.32012071619238</v>
      </c>
      <c r="D324" s="67">
        <f>(1/376.2)*28287.66*1.2*P4</f>
        <v>111.76083328481491</v>
      </c>
      <c r="E324" s="68">
        <f>(1/376.2)*53881.5*1.2*P4</f>
        <v>212.87873718206998</v>
      </c>
      <c r="F324" s="68">
        <f>(1/376.2)*40411.38*1.2*P4</f>
        <v>159.66006035809619</v>
      </c>
      <c r="G324" s="68">
        <f>(1/376.2)*40411.38*1.2*P4</f>
        <v>159.66006035809619</v>
      </c>
      <c r="H324" s="65">
        <f>(1/376.2)*40411.38*1.2*P4</f>
        <v>159.66006035809619</v>
      </c>
      <c r="I324" s="19">
        <f>(1/376.2)*53208.3*1.2*P4</f>
        <v>210.21901230672378</v>
      </c>
      <c r="J324" s="19">
        <f>(1/376.2)*66005.22*1.2*P4</f>
        <v>260.77796425535126</v>
      </c>
      <c r="K324" s="18">
        <f>(1/376.2)*28287.66*1.2*P4</f>
        <v>111.76083328481491</v>
      </c>
      <c r="L324" s="34" t="s">
        <v>131</v>
      </c>
    </row>
    <row r="325" spans="1:12" s="53" customFormat="1" ht="32.25" customHeight="1" thickBot="1" x14ac:dyDescent="0.3">
      <c r="A325" s="327"/>
      <c r="B325" s="323"/>
      <c r="C325" s="18">
        <f>C324+C323</f>
        <v>328.38710636212539</v>
      </c>
      <c r="D325" s="18">
        <f t="shared" ref="D325:K325" si="179">D324+D323</f>
        <v>125.57466307204895</v>
      </c>
      <c r="E325" s="18">
        <f t="shared" si="179"/>
        <v>216.29978981364894</v>
      </c>
      <c r="F325" s="18">
        <f t="shared" si="179"/>
        <v>161.56197423369429</v>
      </c>
      <c r="G325" s="18">
        <f t="shared" si="179"/>
        <v>163.01465897585271</v>
      </c>
      <c r="H325" s="18">
        <f t="shared" si="179"/>
        <v>161.56197423369429</v>
      </c>
      <c r="I325" s="18">
        <f t="shared" si="179"/>
        <v>214.91864016424637</v>
      </c>
      <c r="J325" s="18">
        <f t="shared" si="179"/>
        <v>262.94436510596262</v>
      </c>
      <c r="K325" s="18">
        <f t="shared" si="179"/>
        <v>113.92723413542629</v>
      </c>
      <c r="L325" s="34" t="s">
        <v>131</v>
      </c>
    </row>
    <row r="326" spans="1:12" s="53" customFormat="1" ht="20.100000000000001" customHeight="1" thickBot="1" x14ac:dyDescent="0.3">
      <c r="A326" s="328"/>
      <c r="B326" s="269" t="s">
        <v>212</v>
      </c>
      <c r="C326" s="36">
        <f>SUM(C321:C324)</f>
        <v>8057.8338737845916</v>
      </c>
      <c r="D326" s="36">
        <f t="shared" ref="D326:K326" si="180">SUM(D321:D324)</f>
        <v>7009.1916896012453</v>
      </c>
      <c r="E326" s="36">
        <f t="shared" si="180"/>
        <v>1472.4779710761677</v>
      </c>
      <c r="F326" s="36">
        <f t="shared" si="180"/>
        <v>880.36759296991374</v>
      </c>
      <c r="G326" s="36">
        <f t="shared" si="180"/>
        <v>3335.9625192084895</v>
      </c>
      <c r="H326" s="36">
        <f t="shared" si="180"/>
        <v>686.62498724547174</v>
      </c>
      <c r="I326" s="36">
        <f t="shared" si="180"/>
        <v>5981.6786823410403</v>
      </c>
      <c r="J326" s="36">
        <f t="shared" si="180"/>
        <v>5527.1280585631366</v>
      </c>
      <c r="K326" s="36">
        <f t="shared" si="180"/>
        <v>1235.4714302004318</v>
      </c>
      <c r="L326" s="37" t="s">
        <v>131</v>
      </c>
    </row>
    <row r="327" spans="1:12" s="53" customFormat="1" ht="20.100000000000001" hidden="1" customHeight="1" thickBot="1" x14ac:dyDescent="0.3">
      <c r="A327" s="327" t="s">
        <v>967</v>
      </c>
      <c r="B327" s="321" t="s">
        <v>57</v>
      </c>
      <c r="C327" s="9">
        <v>3574.8371740421985</v>
      </c>
      <c r="D327" s="9">
        <v>5644.1153405439545</v>
      </c>
      <c r="E327" s="9">
        <v>597.07975181745871</v>
      </c>
      <c r="F327" s="9">
        <v>341.92119404468792</v>
      </c>
      <c r="G327" s="9">
        <v>783.8317372941176</v>
      </c>
      <c r="H327" s="9">
        <v>262.2348481610519</v>
      </c>
      <c r="I327" s="9">
        <v>1774.8868916470587</v>
      </c>
      <c r="J327" s="9">
        <v>2266.1237774040351</v>
      </c>
      <c r="K327" s="9">
        <v>515.92648433910222</v>
      </c>
      <c r="L327" s="20" t="s">
        <v>131</v>
      </c>
    </row>
    <row r="328" spans="1:12" s="53" customFormat="1" ht="20.100000000000001" customHeight="1" x14ac:dyDescent="0.25">
      <c r="A328" s="327"/>
      <c r="B328" s="322"/>
      <c r="C328" s="10">
        <f>C327/13.19*19.53*1.039</f>
        <v>5499.5766671263727</v>
      </c>
      <c r="D328" s="10">
        <f t="shared" ref="D328:K328" si="181">D327/13.19*19.53*1.039</f>
        <v>8682.981496001179</v>
      </c>
      <c r="E328" s="10">
        <f t="shared" si="181"/>
        <v>918.5553667598009</v>
      </c>
      <c r="F328" s="10">
        <f t="shared" si="181"/>
        <v>526.01607547845128</v>
      </c>
      <c r="G328" s="10">
        <f t="shared" si="181"/>
        <v>1205.8570848141719</v>
      </c>
      <c r="H328" s="10">
        <f t="shared" si="181"/>
        <v>403.42554976377346</v>
      </c>
      <c r="I328" s="10">
        <f t="shared" si="181"/>
        <v>2730.5094080839935</v>
      </c>
      <c r="J328" s="10">
        <f t="shared" si="181"/>
        <v>3486.2347134371598</v>
      </c>
      <c r="K328" s="10">
        <f t="shared" si="181"/>
        <v>793.70810951245119</v>
      </c>
      <c r="L328" s="26" t="s">
        <v>131</v>
      </c>
    </row>
    <row r="329" spans="1:12" s="51" customFormat="1" ht="20.100000000000001" customHeight="1" x14ac:dyDescent="0.25">
      <c r="A329" s="327"/>
      <c r="B329" s="322"/>
      <c r="C329" s="16">
        <f>C328*0.0214</f>
        <v>117.69094067650437</v>
      </c>
      <c r="D329" s="16">
        <f t="shared" ref="D329:K329" si="182">D328*0.0214</f>
        <v>185.81580401442523</v>
      </c>
      <c r="E329" s="16">
        <f t="shared" si="182"/>
        <v>19.657084848659739</v>
      </c>
      <c r="F329" s="16">
        <f t="shared" si="182"/>
        <v>11.256744015238857</v>
      </c>
      <c r="G329" s="16">
        <f t="shared" si="182"/>
        <v>25.805341615023277</v>
      </c>
      <c r="H329" s="16">
        <f t="shared" si="182"/>
        <v>8.6333067649447521</v>
      </c>
      <c r="I329" s="16">
        <f t="shared" si="182"/>
        <v>58.43290133299746</v>
      </c>
      <c r="J329" s="16">
        <f t="shared" si="182"/>
        <v>74.60542286755522</v>
      </c>
      <c r="K329" s="16">
        <f t="shared" si="182"/>
        <v>16.985353543566454</v>
      </c>
      <c r="L329" s="31" t="s">
        <v>131</v>
      </c>
    </row>
    <row r="330" spans="1:12" s="51" customFormat="1" ht="20.100000000000001" hidden="1" customHeight="1" x14ac:dyDescent="0.25">
      <c r="A330" s="327"/>
      <c r="B330" s="322"/>
      <c r="C330" s="16">
        <f>13186/1700</f>
        <v>7.7564705882352944</v>
      </c>
      <c r="D330" s="16">
        <f>9840/623</f>
        <v>15.79454253611557</v>
      </c>
      <c r="E330" s="16">
        <f>4882/1700</f>
        <v>2.8717647058823528</v>
      </c>
      <c r="F330" s="16">
        <f>10859/2/1700</f>
        <v>3.1938235294117647</v>
      </c>
      <c r="G330" s="16">
        <f>7812/1700</f>
        <v>4.5952941176470592</v>
      </c>
      <c r="H330" s="16">
        <f>F330</f>
        <v>3.1938235294117647</v>
      </c>
      <c r="I330" s="16">
        <f>19239/1700</f>
        <v>11.317058823529411</v>
      </c>
      <c r="J330" s="16">
        <f>2518/1700</f>
        <v>1.4811764705882353</v>
      </c>
      <c r="K330" s="16">
        <f>J330</f>
        <v>1.4811764705882353</v>
      </c>
      <c r="L330" s="31" t="s">
        <v>131</v>
      </c>
    </row>
    <row r="331" spans="1:12" s="53" customFormat="1" ht="20.100000000000001" hidden="1" customHeight="1" thickBot="1" x14ac:dyDescent="0.3">
      <c r="A331" s="327"/>
      <c r="B331" s="322"/>
      <c r="C331" s="18">
        <f>(1/1700)*139622.7*1.2*P4</f>
        <v>122.07268855894735</v>
      </c>
      <c r="D331" s="19">
        <f>(1/1700)*118679.04*1.2*P4</f>
        <v>103.76156232757891</v>
      </c>
      <c r="E331" s="18">
        <f>(1/1700)*93082.14*1.2*P4</f>
        <v>81.382089635999989</v>
      </c>
      <c r="F331" s="19">
        <f>(1/1700)*69811.86*1.2*P4</f>
        <v>61.036790174526296</v>
      </c>
      <c r="G331" s="19">
        <f>(1/1700)*69811.86*1.2*P4</f>
        <v>61.036790174526296</v>
      </c>
      <c r="H331" s="19">
        <f>(1/1700)*69811.86*1.2*P4</f>
        <v>61.036790174526296</v>
      </c>
      <c r="I331" s="19">
        <f>(1/1700)*91918.32*1.2*P4</f>
        <v>80.364557125894734</v>
      </c>
      <c r="J331" s="19">
        <f>(1/1700)*114025.8*1.2*P4</f>
        <v>99.693215867368409</v>
      </c>
      <c r="K331" s="18">
        <f>(1/1700)*48868.2*1.2*P4</f>
        <v>42.725663943157876</v>
      </c>
      <c r="L331" s="34" t="s">
        <v>131</v>
      </c>
    </row>
    <row r="332" spans="1:12" s="53" customFormat="1" ht="20.100000000000001" customHeight="1" thickBot="1" x14ac:dyDescent="0.3">
      <c r="A332" s="327"/>
      <c r="B332" s="323"/>
      <c r="C332" s="18">
        <f>C331+C330</f>
        <v>129.82915914718265</v>
      </c>
      <c r="D332" s="18">
        <f t="shared" ref="D332:K332" si="183">D331+D330</f>
        <v>119.55610486369449</v>
      </c>
      <c r="E332" s="18">
        <f t="shared" si="183"/>
        <v>84.253854341882345</v>
      </c>
      <c r="F332" s="18">
        <f t="shared" si="183"/>
        <v>64.230613703938062</v>
      </c>
      <c r="G332" s="18">
        <f t="shared" si="183"/>
        <v>65.63208429217336</v>
      </c>
      <c r="H332" s="18">
        <f t="shared" si="183"/>
        <v>64.230613703938062</v>
      </c>
      <c r="I332" s="18">
        <f t="shared" si="183"/>
        <v>91.681615949424142</v>
      </c>
      <c r="J332" s="18">
        <f t="shared" si="183"/>
        <v>101.17439233795665</v>
      </c>
      <c r="K332" s="18">
        <f t="shared" si="183"/>
        <v>44.206840413746114</v>
      </c>
      <c r="L332" s="34" t="s">
        <v>131</v>
      </c>
    </row>
    <row r="333" spans="1:12" s="53" customFormat="1" ht="20.100000000000001" customHeight="1" thickBot="1" x14ac:dyDescent="0.3">
      <c r="A333" s="328"/>
      <c r="B333" s="269" t="s">
        <v>212</v>
      </c>
      <c r="C333" s="36">
        <f>SUM(C328:C331)</f>
        <v>5747.0967669500596</v>
      </c>
      <c r="D333" s="36">
        <f t="shared" ref="D333:K333" si="184">SUM(D328:D331)</f>
        <v>8988.353404879299</v>
      </c>
      <c r="E333" s="36">
        <f t="shared" si="184"/>
        <v>1022.466305950343</v>
      </c>
      <c r="F333" s="36">
        <f t="shared" si="184"/>
        <v>601.50343319762828</v>
      </c>
      <c r="G333" s="36">
        <f t="shared" si="184"/>
        <v>1297.2945107213684</v>
      </c>
      <c r="H333" s="36">
        <f t="shared" si="184"/>
        <v>476.28947023265624</v>
      </c>
      <c r="I333" s="36">
        <f t="shared" si="184"/>
        <v>2880.6239253664153</v>
      </c>
      <c r="J333" s="36">
        <f t="shared" si="184"/>
        <v>3662.0145286426718</v>
      </c>
      <c r="K333" s="36">
        <f t="shared" si="184"/>
        <v>854.9003034697638</v>
      </c>
      <c r="L333" s="37" t="s">
        <v>131</v>
      </c>
    </row>
    <row r="334" spans="1:12" s="53" customFormat="1" ht="20.100000000000001" hidden="1" customHeight="1" thickBot="1" x14ac:dyDescent="0.3">
      <c r="A334" s="327" t="s">
        <v>968</v>
      </c>
      <c r="B334" s="321" t="s">
        <v>34</v>
      </c>
      <c r="C334" s="9">
        <v>3581.2646103968941</v>
      </c>
      <c r="D334" s="9">
        <v>7309.8912013953495</v>
      </c>
      <c r="E334" s="9">
        <v>596.96629955334618</v>
      </c>
      <c r="F334" s="9">
        <v>341.85135428953947</v>
      </c>
      <c r="G334" s="9">
        <v>783.74005870588235</v>
      </c>
      <c r="H334" s="9">
        <v>262.41578890474068</v>
      </c>
      <c r="I334" s="9">
        <v>1774.7735151176469</v>
      </c>
      <c r="J334" s="9">
        <v>2312.7055853158699</v>
      </c>
      <c r="K334" s="9">
        <v>520.20341587985467</v>
      </c>
      <c r="L334" s="20" t="s">
        <v>131</v>
      </c>
    </row>
    <row r="335" spans="1:12" s="53" customFormat="1" ht="20.100000000000001" customHeight="1" x14ac:dyDescent="0.25">
      <c r="A335" s="327"/>
      <c r="B335" s="322"/>
      <c r="C335" s="10">
        <f>C334/13.19*19.53*1.039</f>
        <v>5509.464720003969</v>
      </c>
      <c r="D335" s="10">
        <f t="shared" ref="D335:K335" si="185">D334/13.19*19.53*1.039</f>
        <v>11245.63305493692</v>
      </c>
      <c r="E335" s="10">
        <f t="shared" si="185"/>
        <v>918.38083030004918</v>
      </c>
      <c r="F335" s="10">
        <f t="shared" si="185"/>
        <v>525.90863307781797</v>
      </c>
      <c r="G335" s="10">
        <f t="shared" si="185"/>
        <v>1205.716045264624</v>
      </c>
      <c r="H335" s="10">
        <f t="shared" si="185"/>
        <v>403.70391139080061</v>
      </c>
      <c r="I335" s="10">
        <f t="shared" si="185"/>
        <v>2730.3349881355043</v>
      </c>
      <c r="J335" s="10">
        <f t="shared" si="185"/>
        <v>3557.8967812271785</v>
      </c>
      <c r="K335" s="10">
        <f t="shared" si="185"/>
        <v>800.28779741522146</v>
      </c>
      <c r="L335" s="26" t="s">
        <v>131</v>
      </c>
    </row>
    <row r="336" spans="1:12" s="51" customFormat="1" ht="20.100000000000001" customHeight="1" x14ac:dyDescent="0.25">
      <c r="A336" s="327"/>
      <c r="B336" s="322"/>
      <c r="C336" s="16">
        <f>C335*0.0214</f>
        <v>117.90254500808493</v>
      </c>
      <c r="D336" s="16">
        <f t="shared" ref="D336:K336" si="186">D335*0.0214</f>
        <v>240.65654737565006</v>
      </c>
      <c r="E336" s="16">
        <f t="shared" si="186"/>
        <v>19.653349768421052</v>
      </c>
      <c r="F336" s="16">
        <f t="shared" si="186"/>
        <v>11.254444747865303</v>
      </c>
      <c r="G336" s="16">
        <f t="shared" si="186"/>
        <v>25.80232336866295</v>
      </c>
      <c r="H336" s="16">
        <f t="shared" si="186"/>
        <v>8.6392637037631328</v>
      </c>
      <c r="I336" s="16">
        <f t="shared" si="186"/>
        <v>58.429168746099791</v>
      </c>
      <c r="J336" s="16">
        <f t="shared" si="186"/>
        <v>76.138991118261615</v>
      </c>
      <c r="K336" s="16">
        <f t="shared" si="186"/>
        <v>17.126158864685738</v>
      </c>
      <c r="L336" s="31" t="s">
        <v>131</v>
      </c>
    </row>
    <row r="337" spans="1:12" s="51" customFormat="1" ht="20.100000000000001" hidden="1" customHeight="1" x14ac:dyDescent="0.25">
      <c r="A337" s="327"/>
      <c r="B337" s="322"/>
      <c r="C337" s="16">
        <f>13242/1700</f>
        <v>7.789411764705882</v>
      </c>
      <c r="D337" s="16">
        <f>9896/567</f>
        <v>17.45326278659612</v>
      </c>
      <c r="E337" s="16">
        <f>4938/1700</f>
        <v>2.9047058823529412</v>
      </c>
      <c r="F337" s="16">
        <f>10915/2/1700</f>
        <v>3.210294117647059</v>
      </c>
      <c r="G337" s="16">
        <f>7868/1700</f>
        <v>4.6282352941176468</v>
      </c>
      <c r="H337" s="16">
        <f>F337</f>
        <v>3.210294117647059</v>
      </c>
      <c r="I337" s="16">
        <f>19295/1700</f>
        <v>11.35</v>
      </c>
      <c r="J337" s="16">
        <f>2574/1700</f>
        <v>1.5141176470588236</v>
      </c>
      <c r="K337" s="16">
        <f>J337</f>
        <v>1.5141176470588236</v>
      </c>
      <c r="L337" s="31" t="s">
        <v>131</v>
      </c>
    </row>
    <row r="338" spans="1:12" s="53" customFormat="1" ht="20.100000000000001" hidden="1" customHeight="1" thickBot="1" x14ac:dyDescent="0.3">
      <c r="A338" s="327"/>
      <c r="B338" s="322"/>
      <c r="C338" s="18">
        <f>(1/1700)*139622.7*1.2*P4</f>
        <v>122.07268855894735</v>
      </c>
      <c r="D338" s="18">
        <f>(1/1700)*48868.2*1.2*P4</f>
        <v>42.725663943157876</v>
      </c>
      <c r="E338" s="18">
        <f>(1/1700)*93082.14*1.2*P4</f>
        <v>81.382089635999989</v>
      </c>
      <c r="F338" s="19">
        <f>(1/1700)*69811.86*1.2*P4</f>
        <v>61.036790174526296</v>
      </c>
      <c r="G338" s="19">
        <f>(1/1700)*69811.86*1.2*P4</f>
        <v>61.036790174526296</v>
      </c>
      <c r="H338" s="19">
        <f>(1/1700)*69811.86*1.2*P4</f>
        <v>61.036790174526296</v>
      </c>
      <c r="I338" s="19">
        <f>(1/1700)*91918.32*1.2*P4</f>
        <v>80.364557125894734</v>
      </c>
      <c r="J338" s="19">
        <f>(1/1700)*114025.8*1.2*P4</f>
        <v>99.693215867368409</v>
      </c>
      <c r="K338" s="18">
        <f>(1/1700)*48868.2*1.2*P4</f>
        <v>42.725663943157876</v>
      </c>
      <c r="L338" s="20" t="s">
        <v>131</v>
      </c>
    </row>
    <row r="339" spans="1:12" s="53" customFormat="1" ht="20.100000000000001" customHeight="1" thickBot="1" x14ac:dyDescent="0.3">
      <c r="A339" s="327"/>
      <c r="B339" s="323"/>
      <c r="C339" s="18">
        <f>C338+C337</f>
        <v>129.86210032365324</v>
      </c>
      <c r="D339" s="18">
        <f t="shared" ref="D339:K339" si="187">D338+D337</f>
        <v>60.178926729753996</v>
      </c>
      <c r="E339" s="18">
        <f t="shared" si="187"/>
        <v>84.286795518352932</v>
      </c>
      <c r="F339" s="18">
        <f t="shared" si="187"/>
        <v>64.247084292173355</v>
      </c>
      <c r="G339" s="18">
        <f t="shared" si="187"/>
        <v>65.665025468643947</v>
      </c>
      <c r="H339" s="18">
        <f t="shared" si="187"/>
        <v>64.247084292173355</v>
      </c>
      <c r="I339" s="18">
        <f t="shared" si="187"/>
        <v>91.714557125894729</v>
      </c>
      <c r="J339" s="18">
        <f t="shared" si="187"/>
        <v>101.20733351442723</v>
      </c>
      <c r="K339" s="18">
        <f t="shared" si="187"/>
        <v>44.239781590216701</v>
      </c>
      <c r="L339" s="34" t="s">
        <v>131</v>
      </c>
    </row>
    <row r="340" spans="1:12" s="53" customFormat="1" ht="20.100000000000001" customHeight="1" thickBot="1" x14ac:dyDescent="0.3">
      <c r="A340" s="328"/>
      <c r="B340" s="269" t="s">
        <v>212</v>
      </c>
      <c r="C340" s="36">
        <f>SUM(C335:C338)</f>
        <v>5757.2293653357074</v>
      </c>
      <c r="D340" s="36">
        <f t="shared" ref="D340:K340" si="188">SUM(D335:D338)</f>
        <v>11546.468529042324</v>
      </c>
      <c r="E340" s="36">
        <f t="shared" si="188"/>
        <v>1022.3209755868231</v>
      </c>
      <c r="F340" s="36">
        <f t="shared" si="188"/>
        <v>601.41016211785666</v>
      </c>
      <c r="G340" s="36">
        <f t="shared" si="188"/>
        <v>1297.1833941019308</v>
      </c>
      <c r="H340" s="36">
        <f t="shared" si="188"/>
        <v>476.59025938673705</v>
      </c>
      <c r="I340" s="36">
        <f t="shared" si="188"/>
        <v>2880.4787140074991</v>
      </c>
      <c r="J340" s="36">
        <f t="shared" si="188"/>
        <v>3735.2431058598672</v>
      </c>
      <c r="K340" s="36">
        <f t="shared" si="188"/>
        <v>861.6537378701239</v>
      </c>
      <c r="L340" s="37" t="s">
        <v>131</v>
      </c>
    </row>
    <row r="341" spans="1:12" s="53" customFormat="1" ht="20.100000000000001" hidden="1" customHeight="1" thickBot="1" x14ac:dyDescent="0.3">
      <c r="A341" s="327" t="s">
        <v>969</v>
      </c>
      <c r="B341" s="321" t="s">
        <v>160</v>
      </c>
      <c r="C341" s="9">
        <v>3653.828724920128</v>
      </c>
      <c r="D341" s="9">
        <v>5630.4587529166674</v>
      </c>
      <c r="E341" s="9">
        <v>531.71401821086272</v>
      </c>
      <c r="F341" s="9">
        <v>329.24245782747602</v>
      </c>
      <c r="G341" s="9">
        <v>806.19894345047931</v>
      </c>
      <c r="H341" s="9">
        <v>456.30395463258787</v>
      </c>
      <c r="I341" s="9">
        <v>1217.5333313099043</v>
      </c>
      <c r="J341" s="9">
        <v>1758.2892565495208</v>
      </c>
      <c r="K341" s="9">
        <v>401.57906357827477</v>
      </c>
      <c r="L341" s="20" t="s">
        <v>131</v>
      </c>
    </row>
    <row r="342" spans="1:12" s="53" customFormat="1" ht="20.100000000000001" customHeight="1" x14ac:dyDescent="0.25">
      <c r="A342" s="327"/>
      <c r="B342" s="322"/>
      <c r="C342" s="10">
        <f>C341/13.19*19.53*1.039</f>
        <v>5621.0983110386669</v>
      </c>
      <c r="D342" s="10">
        <f t="shared" ref="D342:K342" si="189">D341/13.19*19.53*1.039</f>
        <v>8661.9720214402241</v>
      </c>
      <c r="E342" s="10">
        <f t="shared" si="189"/>
        <v>817.99585988694594</v>
      </c>
      <c r="F342" s="10">
        <f t="shared" si="189"/>
        <v>506.51094042638817</v>
      </c>
      <c r="G342" s="10">
        <f t="shared" si="189"/>
        <v>1240.2670898290969</v>
      </c>
      <c r="H342" s="10">
        <f t="shared" si="189"/>
        <v>701.9840232827479</v>
      </c>
      <c r="I342" s="10">
        <f t="shared" si="189"/>
        <v>1873.0693383579414</v>
      </c>
      <c r="J342" s="10">
        <f t="shared" si="189"/>
        <v>2704.9753872970596</v>
      </c>
      <c r="K342" s="10">
        <f t="shared" si="189"/>
        <v>617.79452896431928</v>
      </c>
      <c r="L342" s="26" t="s">
        <v>131</v>
      </c>
    </row>
    <row r="343" spans="1:12" s="51" customFormat="1" ht="20.100000000000001" customHeight="1" x14ac:dyDescent="0.25">
      <c r="A343" s="327"/>
      <c r="B343" s="322"/>
      <c r="C343" s="16">
        <f>C342*0.0214</f>
        <v>120.29150385622746</v>
      </c>
      <c r="D343" s="16">
        <f t="shared" ref="D343:K343" si="190">D342*0.0214</f>
        <v>185.36620125882078</v>
      </c>
      <c r="E343" s="16">
        <f t="shared" si="190"/>
        <v>17.505111401580642</v>
      </c>
      <c r="F343" s="16">
        <f t="shared" si="190"/>
        <v>10.839334125124706</v>
      </c>
      <c r="G343" s="16">
        <f t="shared" si="190"/>
        <v>26.541715722342673</v>
      </c>
      <c r="H343" s="16">
        <f t="shared" si="190"/>
        <v>15.022458098250803</v>
      </c>
      <c r="I343" s="16">
        <f t="shared" si="190"/>
        <v>40.083683840859948</v>
      </c>
      <c r="J343" s="16">
        <f t="shared" si="190"/>
        <v>57.88647328815707</v>
      </c>
      <c r="K343" s="16">
        <f t="shared" si="190"/>
        <v>13.220802919836432</v>
      </c>
      <c r="L343" s="31" t="s">
        <v>131</v>
      </c>
    </row>
    <row r="344" spans="1:12" s="51" customFormat="1" ht="20.100000000000001" hidden="1" customHeight="1" x14ac:dyDescent="0.25">
      <c r="A344" s="327"/>
      <c r="B344" s="322"/>
      <c r="C344" s="16">
        <f>21872/3149.2</f>
        <v>6.9452559380160048</v>
      </c>
      <c r="D344" s="16">
        <f>16288/866</f>
        <v>18.808314087759815</v>
      </c>
      <c r="E344" s="16">
        <f>8878/3149.2</f>
        <v>2.8191286675981204</v>
      </c>
      <c r="F344" s="16">
        <f>34063/2/3149.2</f>
        <v>5.408198907659088</v>
      </c>
      <c r="G344" s="16">
        <f>31240/3149.2</f>
        <v>9.9199796773783824</v>
      </c>
      <c r="H344" s="16">
        <f>F344</f>
        <v>5.408198907659088</v>
      </c>
      <c r="I344" s="16">
        <f>46764/3149.2</f>
        <v>14.849485583640291</v>
      </c>
      <c r="J344" s="16">
        <f>4071/3149.2</f>
        <v>1.2927092594944749</v>
      </c>
      <c r="K344" s="16">
        <f>J344</f>
        <v>1.2927092594944749</v>
      </c>
      <c r="L344" s="31" t="s">
        <v>131</v>
      </c>
    </row>
    <row r="345" spans="1:12" s="53" customFormat="1" ht="20.100000000000001" hidden="1" customHeight="1" thickBot="1" x14ac:dyDescent="0.3">
      <c r="A345" s="327"/>
      <c r="B345" s="322"/>
      <c r="C345" s="18">
        <f>110.368896595784*P4</f>
        <v>136.70262487907331</v>
      </c>
      <c r="D345" s="18">
        <f>93.813562106416*P4</f>
        <v>116.19723114721182</v>
      </c>
      <c r="E345" s="18">
        <f>73.5790782148398*P4</f>
        <v>91.134852647747365</v>
      </c>
      <c r="F345" s="19">
        <f>55.1844482978918*P4</f>
        <v>68.351312439536414</v>
      </c>
      <c r="G345" s="19">
        <f>55.1844482978918*P4</f>
        <v>68.351312439536414</v>
      </c>
      <c r="H345" s="19">
        <f>55.1844482978918*P4</f>
        <v>68.351312439536414</v>
      </c>
      <c r="I345" s="19">
        <f>72.6597097745733*P4</f>
        <v>89.99612531702391</v>
      </c>
      <c r="J345" s="19">
        <f>90.1349712512549*P4</f>
        <v>111.64093819451153</v>
      </c>
      <c r="K345" s="18">
        <f>38.6291138085242*P4</f>
        <v>47.845918707675416</v>
      </c>
      <c r="L345" s="34" t="s">
        <v>131</v>
      </c>
    </row>
    <row r="346" spans="1:12" s="53" customFormat="1" ht="20.100000000000001" customHeight="1" thickBot="1" x14ac:dyDescent="0.3">
      <c r="A346" s="327"/>
      <c r="B346" s="323"/>
      <c r="C346" s="18">
        <f>C345+C344</f>
        <v>143.64788081708932</v>
      </c>
      <c r="D346" s="18">
        <f t="shared" ref="D346:K346" si="191">D345+D344</f>
        <v>135.00554523497163</v>
      </c>
      <c r="E346" s="18">
        <f t="shared" si="191"/>
        <v>93.953981315345487</v>
      </c>
      <c r="F346" s="18">
        <f t="shared" si="191"/>
        <v>73.759511347195499</v>
      </c>
      <c r="G346" s="18">
        <f t="shared" si="191"/>
        <v>78.271292116914793</v>
      </c>
      <c r="H346" s="18">
        <f t="shared" si="191"/>
        <v>73.759511347195499</v>
      </c>
      <c r="I346" s="18">
        <f t="shared" si="191"/>
        <v>104.8456109006642</v>
      </c>
      <c r="J346" s="18">
        <f t="shared" si="191"/>
        <v>112.93364745400601</v>
      </c>
      <c r="K346" s="18">
        <f t="shared" si="191"/>
        <v>49.138627967169889</v>
      </c>
      <c r="L346" s="34" t="s">
        <v>131</v>
      </c>
    </row>
    <row r="347" spans="1:12" s="53" customFormat="1" ht="20.100000000000001" customHeight="1" thickBot="1" x14ac:dyDescent="0.3">
      <c r="A347" s="328"/>
      <c r="B347" s="259" t="s">
        <v>212</v>
      </c>
      <c r="C347" s="36">
        <f>SUM(C342:C345)</f>
        <v>5885.0376957119843</v>
      </c>
      <c r="D347" s="36">
        <f t="shared" ref="D347:K347" si="192">SUM(D342:D345)</f>
        <v>8982.3437679340168</v>
      </c>
      <c r="E347" s="36">
        <f t="shared" si="192"/>
        <v>929.45495260387202</v>
      </c>
      <c r="F347" s="36">
        <f t="shared" si="192"/>
        <v>591.10978589870831</v>
      </c>
      <c r="G347" s="36">
        <f t="shared" si="192"/>
        <v>1345.0800976683545</v>
      </c>
      <c r="H347" s="36">
        <f t="shared" si="192"/>
        <v>790.76599272819419</v>
      </c>
      <c r="I347" s="36">
        <f t="shared" si="192"/>
        <v>2017.9986330994655</v>
      </c>
      <c r="J347" s="36">
        <f t="shared" si="192"/>
        <v>2875.7955080392226</v>
      </c>
      <c r="K347" s="36">
        <f t="shared" si="192"/>
        <v>680.15395985132557</v>
      </c>
      <c r="L347" s="37" t="s">
        <v>131</v>
      </c>
    </row>
    <row r="348" spans="1:12" s="53" customFormat="1" ht="20.100000000000001" hidden="1" customHeight="1" thickBot="1" x14ac:dyDescent="0.3">
      <c r="A348" s="327" t="s">
        <v>970</v>
      </c>
      <c r="B348" s="321" t="s">
        <v>35</v>
      </c>
      <c r="C348" s="9">
        <v>3674.3355449357637</v>
      </c>
      <c r="D348" s="9">
        <v>7284.1874513089006</v>
      </c>
      <c r="E348" s="9">
        <v>494.86948933482807</v>
      </c>
      <c r="F348" s="9">
        <v>344.61260306549622</v>
      </c>
      <c r="G348" s="9">
        <v>805.71635593526275</v>
      </c>
      <c r="H348" s="9">
        <v>400.54763211735661</v>
      </c>
      <c r="I348" s="9">
        <v>1279.7533787979062</v>
      </c>
      <c r="J348" s="9">
        <v>1601.8984129126945</v>
      </c>
      <c r="K348" s="9">
        <v>354.24252872217187</v>
      </c>
      <c r="L348" s="20" t="s">
        <v>131</v>
      </c>
    </row>
    <row r="349" spans="1:12" s="53" customFormat="1" ht="20.100000000000001" customHeight="1" x14ac:dyDescent="0.25">
      <c r="A349" s="327"/>
      <c r="B349" s="322"/>
      <c r="C349" s="10">
        <f>C348/13.19*19.53*1.039</f>
        <v>5652.6462734728339</v>
      </c>
      <c r="D349" s="10">
        <f t="shared" ref="D349:K349" si="193">D348/13.19*19.53*1.039</f>
        <v>11206.09006672489</v>
      </c>
      <c r="E349" s="10">
        <f t="shared" si="193"/>
        <v>761.31375061795688</v>
      </c>
      <c r="F349" s="10">
        <f t="shared" si="193"/>
        <v>530.1565746206245</v>
      </c>
      <c r="G349" s="10">
        <f t="shared" si="193"/>
        <v>1239.5246708294837</v>
      </c>
      <c r="H349" s="10">
        <f t="shared" si="193"/>
        <v>616.20776119839286</v>
      </c>
      <c r="I349" s="10">
        <f t="shared" si="193"/>
        <v>1968.789480208651</v>
      </c>
      <c r="J349" s="10">
        <f t="shared" si="193"/>
        <v>2464.3816503675616</v>
      </c>
      <c r="K349" s="10">
        <f t="shared" si="193"/>
        <v>544.97137928702296</v>
      </c>
      <c r="L349" s="26" t="s">
        <v>131</v>
      </c>
    </row>
    <row r="350" spans="1:12" s="51" customFormat="1" ht="20.100000000000001" customHeight="1" x14ac:dyDescent="0.25">
      <c r="A350" s="327"/>
      <c r="B350" s="322"/>
      <c r="C350" s="16">
        <f>C349*0.0214</f>
        <v>120.96663025231864</v>
      </c>
      <c r="D350" s="16">
        <f t="shared" ref="D350:K350" si="194">D349*0.0214</f>
        <v>239.81032742791263</v>
      </c>
      <c r="E350" s="16">
        <f t="shared" si="194"/>
        <v>16.292114263224278</v>
      </c>
      <c r="F350" s="16">
        <f t="shared" si="194"/>
        <v>11.345350696881363</v>
      </c>
      <c r="G350" s="16">
        <f t="shared" si="194"/>
        <v>26.525827955750952</v>
      </c>
      <c r="H350" s="16">
        <f t="shared" si="194"/>
        <v>13.186846089645606</v>
      </c>
      <c r="I350" s="16">
        <f t="shared" si="194"/>
        <v>42.132094876465125</v>
      </c>
      <c r="J350" s="16">
        <f t="shared" si="194"/>
        <v>52.737767317865817</v>
      </c>
      <c r="K350" s="16">
        <f t="shared" si="194"/>
        <v>11.662387516742291</v>
      </c>
      <c r="L350" s="31" t="s">
        <v>131</v>
      </c>
    </row>
    <row r="351" spans="1:12" s="51" customFormat="1" ht="20.100000000000001" hidden="1" customHeight="1" x14ac:dyDescent="0.25">
      <c r="A351" s="327"/>
      <c r="B351" s="322"/>
      <c r="C351" s="16">
        <f>11691/1662.1</f>
        <v>7.0338728115035201</v>
      </c>
      <c r="D351" s="16">
        <f>8741/416</f>
        <v>21.01201923076923</v>
      </c>
      <c r="E351" s="16">
        <f>4833/1662.1</f>
        <v>2.9077672823536491</v>
      </c>
      <c r="F351" s="16">
        <f>10677/2/1662.1</f>
        <v>3.2119006076650023</v>
      </c>
      <c r="G351" s="16">
        <f>7690/1662.1</f>
        <v>4.6266770952409608</v>
      </c>
      <c r="H351" s="16">
        <f>F351</f>
        <v>3.2119006076650023</v>
      </c>
      <c r="I351" s="16">
        <f>18870/1662.1</f>
        <v>11.353107514589977</v>
      </c>
      <c r="J351" s="16">
        <f>2296/1662.1</f>
        <v>1.3813849948859878</v>
      </c>
      <c r="K351" s="16">
        <f>J351</f>
        <v>1.3813849948859878</v>
      </c>
      <c r="L351" s="31" t="s">
        <v>131</v>
      </c>
    </row>
    <row r="352" spans="1:12" s="53" customFormat="1" ht="20.100000000000001" hidden="1" customHeight="1" thickBot="1" x14ac:dyDescent="0.3">
      <c r="A352" s="327"/>
      <c r="B352" s="322"/>
      <c r="C352" s="18">
        <f>(1/1662.1)*192981.96*1.2*P4</f>
        <v>172.57225038835458</v>
      </c>
      <c r="D352" s="18">
        <f>(1/1662.1)*67543.38*1.2*P4</f>
        <v>60.400013998385042</v>
      </c>
      <c r="E352" s="18">
        <f>(1/1662.1)*128654.64*1.2*P4</f>
        <v>115.04816692556973</v>
      </c>
      <c r="F352" s="19">
        <f>(1/1662.1)*96490.98*1.2*P4</f>
        <v>86.286125194177288</v>
      </c>
      <c r="G352" s="19">
        <f>(1/1662.1)*96490.98*1.2*P4</f>
        <v>86.286125194177288</v>
      </c>
      <c r="H352" s="19">
        <f>(1/1662.1)*96490.98*1.2*P4</f>
        <v>86.286125194177288</v>
      </c>
      <c r="I352" s="19">
        <f>(1/1662.1)*127046.1*1.2*P4</f>
        <v>113.60974559520454</v>
      </c>
      <c r="J352" s="19">
        <f>(1/1662.1)*157602.24*1.2*P4</f>
        <v>140.93427812136198</v>
      </c>
      <c r="K352" s="18">
        <f>(1/1662.1)*67543.38*1.2*P4</f>
        <v>60.400013998385042</v>
      </c>
      <c r="L352" s="34" t="s">
        <v>131</v>
      </c>
    </row>
    <row r="353" spans="1:12" s="53" customFormat="1" ht="20.100000000000001" customHeight="1" thickBot="1" x14ac:dyDescent="0.3">
      <c r="A353" s="327"/>
      <c r="B353" s="323"/>
      <c r="C353" s="18">
        <f>C352+C351</f>
        <v>179.6061231998581</v>
      </c>
      <c r="D353" s="18">
        <f t="shared" ref="D353:K353" si="195">D352+D351</f>
        <v>81.412033229154275</v>
      </c>
      <c r="E353" s="18">
        <f t="shared" si="195"/>
        <v>117.95593420792338</v>
      </c>
      <c r="F353" s="18">
        <f t="shared" si="195"/>
        <v>89.498025801842289</v>
      </c>
      <c r="G353" s="18">
        <f t="shared" si="195"/>
        <v>90.912802289418252</v>
      </c>
      <c r="H353" s="18">
        <f t="shared" si="195"/>
        <v>89.498025801842289</v>
      </c>
      <c r="I353" s="18">
        <f t="shared" si="195"/>
        <v>124.96285310979452</v>
      </c>
      <c r="J353" s="18">
        <f t="shared" si="195"/>
        <v>142.31566311624798</v>
      </c>
      <c r="K353" s="18">
        <f t="shared" si="195"/>
        <v>61.781398993271033</v>
      </c>
      <c r="L353" s="34" t="s">
        <v>131</v>
      </c>
    </row>
    <row r="354" spans="1:12" s="53" customFormat="1" ht="20.100000000000001" customHeight="1" thickBot="1" x14ac:dyDescent="0.3">
      <c r="A354" s="328"/>
      <c r="B354" s="265" t="s">
        <v>212</v>
      </c>
      <c r="C354" s="36">
        <f>SUM(C349:C352)</f>
        <v>5953.2190269250104</v>
      </c>
      <c r="D354" s="36">
        <f t="shared" ref="D354:K354" si="196">SUM(D349:D352)</f>
        <v>11527.312427381958</v>
      </c>
      <c r="E354" s="36">
        <f t="shared" si="196"/>
        <v>895.56179908910451</v>
      </c>
      <c r="F354" s="36">
        <f t="shared" si="196"/>
        <v>630.99995111934822</v>
      </c>
      <c r="G354" s="36">
        <f t="shared" si="196"/>
        <v>1356.9633010746527</v>
      </c>
      <c r="H354" s="36">
        <f t="shared" si="196"/>
        <v>718.89263308988086</v>
      </c>
      <c r="I354" s="36">
        <f t="shared" si="196"/>
        <v>2135.8844281949105</v>
      </c>
      <c r="J354" s="36">
        <f t="shared" si="196"/>
        <v>2659.4350808016752</v>
      </c>
      <c r="K354" s="36">
        <f t="shared" si="196"/>
        <v>618.41516579703625</v>
      </c>
      <c r="L354" s="37" t="s">
        <v>131</v>
      </c>
    </row>
    <row r="355" spans="1:12" s="53" customFormat="1" ht="20.100000000000001" hidden="1" customHeight="1" thickBot="1" x14ac:dyDescent="0.3">
      <c r="A355" s="327" t="s">
        <v>971</v>
      </c>
      <c r="B355" s="322" t="s">
        <v>58</v>
      </c>
      <c r="C355" s="9">
        <v>2217.6027865603596</v>
      </c>
      <c r="D355" s="9">
        <v>4707.8618346666663</v>
      </c>
      <c r="E355" s="9">
        <v>559.84435877022429</v>
      </c>
      <c r="F355" s="9">
        <v>388.6345542446428</v>
      </c>
      <c r="G355" s="9">
        <v>674.29779374060013</v>
      </c>
      <c r="H355" s="9">
        <v>484.09576746234728</v>
      </c>
      <c r="I355" s="9">
        <v>2092.9643938981599</v>
      </c>
      <c r="J355" s="9">
        <v>1546.5468949911135</v>
      </c>
      <c r="K355" s="9">
        <v>344.72522633998705</v>
      </c>
      <c r="L355" s="20" t="s">
        <v>131</v>
      </c>
    </row>
    <row r="356" spans="1:12" s="53" customFormat="1" ht="20.100000000000001" customHeight="1" x14ac:dyDescent="0.25">
      <c r="A356" s="327"/>
      <c r="B356" s="322"/>
      <c r="C356" s="10">
        <f>C355/13.19*19.53*1.039</f>
        <v>3411.5893810434609</v>
      </c>
      <c r="D356" s="10">
        <f t="shared" ref="D356:K356" si="197">D355/13.19*19.53*1.039</f>
        <v>7242.6367516793443</v>
      </c>
      <c r="E356" s="10">
        <f t="shared" si="197"/>
        <v>861.27194689363137</v>
      </c>
      <c r="F356" s="10">
        <f t="shared" si="197"/>
        <v>597.88052504392658</v>
      </c>
      <c r="G356" s="10">
        <f t="shared" si="197"/>
        <v>1037.3486211002521</v>
      </c>
      <c r="H356" s="10">
        <f t="shared" si="197"/>
        <v>744.73931476441919</v>
      </c>
      <c r="I356" s="10">
        <f t="shared" si="197"/>
        <v>3219.8440335656919</v>
      </c>
      <c r="J356" s="10">
        <f t="shared" si="197"/>
        <v>2379.2281450101841</v>
      </c>
      <c r="K356" s="10">
        <f t="shared" si="197"/>
        <v>530.32983575180629</v>
      </c>
      <c r="L356" s="40" t="s">
        <v>131</v>
      </c>
    </row>
    <row r="357" spans="1:12" s="51" customFormat="1" ht="20.100000000000001" customHeight="1" x14ac:dyDescent="0.25">
      <c r="A357" s="327"/>
      <c r="B357" s="322"/>
      <c r="C357" s="16">
        <f>C356*0.0214</f>
        <v>73.008012754330053</v>
      </c>
      <c r="D357" s="16">
        <f t="shared" ref="D357:K357" si="198">D356*0.0214</f>
        <v>154.99242648593795</v>
      </c>
      <c r="E357" s="16">
        <f t="shared" si="198"/>
        <v>18.431219663523709</v>
      </c>
      <c r="F357" s="16">
        <f t="shared" si="198"/>
        <v>12.794643235940029</v>
      </c>
      <c r="G357" s="16">
        <f t="shared" si="198"/>
        <v>22.199260491545395</v>
      </c>
      <c r="H357" s="16">
        <f t="shared" si="198"/>
        <v>15.93742133595857</v>
      </c>
      <c r="I357" s="16">
        <f t="shared" si="198"/>
        <v>68.90466231830581</v>
      </c>
      <c r="J357" s="16">
        <f t="shared" si="198"/>
        <v>50.915482303217935</v>
      </c>
      <c r="K357" s="16">
        <f t="shared" si="198"/>
        <v>11.349058485088653</v>
      </c>
      <c r="L357" s="31" t="s">
        <v>131</v>
      </c>
    </row>
    <row r="358" spans="1:12" s="51" customFormat="1" ht="20.100000000000001" hidden="1" customHeight="1" x14ac:dyDescent="0.25">
      <c r="A358" s="327"/>
      <c r="B358" s="322"/>
      <c r="C358" s="16">
        <f>16252/2792.6</f>
        <v>5.8196662608321992</v>
      </c>
      <c r="D358" s="16">
        <f>12116/560</f>
        <v>21.635714285714286</v>
      </c>
      <c r="E358" s="16">
        <f>7893/2792.6</f>
        <v>2.8263983384659457</v>
      </c>
      <c r="F358" s="16">
        <f>30230/2/2792.6</f>
        <v>5.4125187996848814</v>
      </c>
      <c r="G358" s="16">
        <f>27727/2792.6</f>
        <v>9.928740242068324</v>
      </c>
      <c r="H358" s="16">
        <f>F358</f>
        <v>5.4125187996848814</v>
      </c>
      <c r="I358" s="16">
        <f>41493/2792.6</f>
        <v>14.858196662608323</v>
      </c>
      <c r="J358" s="16">
        <f>3066/2792.6</f>
        <v>1.097901597077992</v>
      </c>
      <c r="K358" s="16">
        <f>J358</f>
        <v>1.097901597077992</v>
      </c>
      <c r="L358" s="31" t="s">
        <v>131</v>
      </c>
    </row>
    <row r="359" spans="1:12" s="53" customFormat="1" ht="20.100000000000001" hidden="1" customHeight="1" thickBot="1" x14ac:dyDescent="0.3">
      <c r="A359" s="327"/>
      <c r="B359" s="323"/>
      <c r="C359" s="18">
        <f>(1/2792.6)*273562.98*1.2*P4</f>
        <v>145.59953611348035</v>
      </c>
      <c r="D359" s="18">
        <f>(1/2792.6)*95747.4*1.2*P4</f>
        <v>50.960027647278331</v>
      </c>
      <c r="E359" s="19">
        <f>(1/2792.6)*182374.98*1.2*P4</f>
        <v>97.066176449405759</v>
      </c>
      <c r="F359" s="19">
        <f>(1/2792.6)*136780.98*1.2*P4</f>
        <v>72.799496617368462</v>
      </c>
      <c r="G359" s="19">
        <f>(1/2792.6)*136780.98*1.2*P4</f>
        <v>72.799496617368462</v>
      </c>
      <c r="H359" s="19">
        <f>(1/2792.6)*136780.98*1.2*P4</f>
        <v>72.799496617368462</v>
      </c>
      <c r="I359" s="19">
        <f>(1/2792.6)*180095.28*1.2*P4</f>
        <v>95.852842457803888</v>
      </c>
      <c r="J359" s="19">
        <f>(1/2792.6)*223409.58*1.2*P4</f>
        <v>118.90618829823931</v>
      </c>
      <c r="K359" s="18">
        <f>(1/2792.6)*95747.4*1.2*P4</f>
        <v>50.960027647278331</v>
      </c>
      <c r="L359" s="34" t="s">
        <v>131</v>
      </c>
    </row>
    <row r="360" spans="1:12" s="53" customFormat="1" ht="20.100000000000001" customHeight="1" thickBot="1" x14ac:dyDescent="0.3">
      <c r="A360" s="327"/>
      <c r="B360" s="263"/>
      <c r="C360" s="18">
        <f>C359+C358</f>
        <v>151.41920237431256</v>
      </c>
      <c r="D360" s="18">
        <f t="shared" ref="D360:K360" si="199">D359+D358</f>
        <v>72.59574193299261</v>
      </c>
      <c r="E360" s="18">
        <f t="shared" si="199"/>
        <v>99.892574787871709</v>
      </c>
      <c r="F360" s="18">
        <f t="shared" si="199"/>
        <v>78.212015417053337</v>
      </c>
      <c r="G360" s="18">
        <f t="shared" si="199"/>
        <v>82.728236859436791</v>
      </c>
      <c r="H360" s="18">
        <f t="shared" si="199"/>
        <v>78.212015417053337</v>
      </c>
      <c r="I360" s="18">
        <f t="shared" si="199"/>
        <v>110.71103912041221</v>
      </c>
      <c r="J360" s="18">
        <f t="shared" si="199"/>
        <v>120.00408989531731</v>
      </c>
      <c r="K360" s="18">
        <f t="shared" si="199"/>
        <v>52.057929244356323</v>
      </c>
      <c r="L360" s="34" t="s">
        <v>131</v>
      </c>
    </row>
    <row r="361" spans="1:12" s="53" customFormat="1" ht="20.100000000000001" customHeight="1" thickBot="1" x14ac:dyDescent="0.3">
      <c r="A361" s="328"/>
      <c r="B361" s="259" t="s">
        <v>212</v>
      </c>
      <c r="C361" s="36">
        <f>SUM(C356:C359)</f>
        <v>3636.0165961721036</v>
      </c>
      <c r="D361" s="36">
        <f t="shared" ref="D361:K361" si="200">SUM(D356:D359)</f>
        <v>7470.2249200982751</v>
      </c>
      <c r="E361" s="36">
        <f t="shared" si="200"/>
        <v>979.59574134502691</v>
      </c>
      <c r="F361" s="36">
        <f t="shared" si="200"/>
        <v>688.88718369692003</v>
      </c>
      <c r="G361" s="36">
        <f t="shared" si="200"/>
        <v>1142.2761184512342</v>
      </c>
      <c r="H361" s="36">
        <f t="shared" si="200"/>
        <v>838.88875151743116</v>
      </c>
      <c r="I361" s="36">
        <f t="shared" si="200"/>
        <v>3399.45973500441</v>
      </c>
      <c r="J361" s="36">
        <f t="shared" si="200"/>
        <v>2550.1477172087193</v>
      </c>
      <c r="K361" s="36">
        <f t="shared" si="200"/>
        <v>593.73682348125135</v>
      </c>
      <c r="L361" s="37" t="s">
        <v>131</v>
      </c>
    </row>
    <row r="362" spans="1:12" s="53" customFormat="1" ht="20.100000000000001" hidden="1" customHeight="1" thickBot="1" x14ac:dyDescent="0.3">
      <c r="A362" s="327" t="s">
        <v>972</v>
      </c>
      <c r="B362" s="321" t="s">
        <v>59</v>
      </c>
      <c r="C362" s="9">
        <v>6929.7770984349982</v>
      </c>
      <c r="D362" s="9">
        <v>7752.4620490647512</v>
      </c>
      <c r="E362" s="9">
        <v>1127.3872135116126</v>
      </c>
      <c r="F362" s="9">
        <v>645.09689150054146</v>
      </c>
      <c r="G362" s="9" t="s">
        <v>131</v>
      </c>
      <c r="H362" s="9">
        <v>468.15360803749343</v>
      </c>
      <c r="I362" s="9">
        <v>5175.9783555888962</v>
      </c>
      <c r="J362" s="9">
        <v>4749.7398532365696</v>
      </c>
      <c r="K362" s="9" t="s">
        <v>131</v>
      </c>
      <c r="L362" s="20" t="s">
        <v>131</v>
      </c>
    </row>
    <row r="363" spans="1:12" s="53" customFormat="1" ht="20.100000000000001" customHeight="1" x14ac:dyDescent="0.25">
      <c r="A363" s="327"/>
      <c r="B363" s="322"/>
      <c r="C363" s="10">
        <f>C362/14.06*19.53*1.039</f>
        <v>10001.19132681369</v>
      </c>
      <c r="D363" s="10">
        <f t="shared" ref="D363:J363" si="201">D362/14.06*19.53*1.039</f>
        <v>11188.506514021745</v>
      </c>
      <c r="E363" s="10">
        <f t="shared" si="201"/>
        <v>1627.0675176953901</v>
      </c>
      <c r="F363" s="10">
        <f t="shared" si="201"/>
        <v>931.01658892992828</v>
      </c>
      <c r="G363" s="10" t="s">
        <v>131</v>
      </c>
      <c r="H363" s="10">
        <f t="shared" si="201"/>
        <v>675.64854364197458</v>
      </c>
      <c r="I363" s="10">
        <f t="shared" si="201"/>
        <v>7470.0743043209486</v>
      </c>
      <c r="J363" s="10">
        <f t="shared" si="201"/>
        <v>6854.9184699662082</v>
      </c>
      <c r="K363" s="10" t="s">
        <v>131</v>
      </c>
      <c r="L363" s="26" t="s">
        <v>131</v>
      </c>
    </row>
    <row r="364" spans="1:12" s="51" customFormat="1" ht="20.100000000000001" customHeight="1" x14ac:dyDescent="0.25">
      <c r="A364" s="327"/>
      <c r="B364" s="322"/>
      <c r="C364" s="16">
        <f>C363*0.0214</f>
        <v>214.02549439381298</v>
      </c>
      <c r="D364" s="16">
        <f t="shared" ref="D364:J364" si="202">D363*0.0214</f>
        <v>239.43403940006533</v>
      </c>
      <c r="E364" s="16">
        <f t="shared" si="202"/>
        <v>34.819244878681346</v>
      </c>
      <c r="F364" s="16">
        <f t="shared" si="202"/>
        <v>19.923755003100464</v>
      </c>
      <c r="G364" s="16" t="s">
        <v>131</v>
      </c>
      <c r="H364" s="16">
        <f t="shared" si="202"/>
        <v>14.458878833938256</v>
      </c>
      <c r="I364" s="16">
        <f t="shared" si="202"/>
        <v>159.85959011246828</v>
      </c>
      <c r="J364" s="16">
        <f t="shared" si="202"/>
        <v>146.69525525727684</v>
      </c>
      <c r="K364" s="16" t="s">
        <v>131</v>
      </c>
      <c r="L364" s="31" t="s">
        <v>131</v>
      </c>
    </row>
    <row r="365" spans="1:12" s="51" customFormat="1" ht="20.100000000000001" hidden="1" customHeight="1" x14ac:dyDescent="0.25">
      <c r="A365" s="327"/>
      <c r="B365" s="322"/>
      <c r="C365" s="16">
        <f>12764/1497</f>
        <v>8.5263861055444217</v>
      </c>
      <c r="D365" s="16">
        <f>9526/823</f>
        <v>11.574726609963548</v>
      </c>
      <c r="E365" s="16">
        <f>4322/1497</f>
        <v>2.8871075484301936</v>
      </c>
      <c r="F365" s="16">
        <f>9585/2/1497</f>
        <v>3.2014028056112225</v>
      </c>
      <c r="G365" s="16" t="s">
        <v>131</v>
      </c>
      <c r="H365" s="16">
        <f>F365</f>
        <v>3.2014028056112225</v>
      </c>
      <c r="I365" s="16">
        <f>10256/1497</f>
        <v>6.8510354041416166</v>
      </c>
      <c r="J365" s="16">
        <f>2442/1497</f>
        <v>1.6312625250501003</v>
      </c>
      <c r="K365" s="16" t="s">
        <v>131</v>
      </c>
      <c r="L365" s="31" t="s">
        <v>131</v>
      </c>
    </row>
    <row r="366" spans="1:12" s="53" customFormat="1" ht="20.100000000000001" hidden="1" customHeight="1" thickBot="1" x14ac:dyDescent="0.3">
      <c r="A366" s="327"/>
      <c r="B366" s="322"/>
      <c r="C366" s="68">
        <f>(1/1497)*98970.6*1.2*P4</f>
        <v>98.264308385613333</v>
      </c>
      <c r="D366" s="67">
        <f>(1/1497)*84124.5*1.2*P4</f>
        <v>83.524155767324132</v>
      </c>
      <c r="E366" s="67">
        <f>(1/1497)*65980.74*1.2*P4</f>
        <v>65.509876497373696</v>
      </c>
      <c r="F366" s="68">
        <f>(1/1497)*49485.3*1.2*P4</f>
        <v>49.132154192806667</v>
      </c>
      <c r="G366" s="68" t="s">
        <v>131</v>
      </c>
      <c r="H366" s="68">
        <f>(1/1497)*49485.3*1.2*P4</f>
        <v>49.132154192806667</v>
      </c>
      <c r="I366" s="68">
        <f>(1/1497)*65155.56*1.2*P4</f>
        <v>64.690585293787564</v>
      </c>
      <c r="J366" s="68">
        <f>(1/1497)*34639.2*1.2*P4</f>
        <v>34.392001574517451</v>
      </c>
      <c r="K366" s="67" t="s">
        <v>131</v>
      </c>
      <c r="L366" s="70" t="s">
        <v>131</v>
      </c>
    </row>
    <row r="367" spans="1:12" s="53" customFormat="1" ht="20.100000000000001" customHeight="1" thickBot="1" x14ac:dyDescent="0.3">
      <c r="A367" s="327"/>
      <c r="B367" s="323"/>
      <c r="C367" s="19">
        <f>C366+C365</f>
        <v>106.79069449115775</v>
      </c>
      <c r="D367" s="19">
        <f t="shared" ref="D367:J367" si="203">D366+D365</f>
        <v>95.09888237728768</v>
      </c>
      <c r="E367" s="19">
        <f t="shared" si="203"/>
        <v>68.39698404580389</v>
      </c>
      <c r="F367" s="19">
        <f t="shared" si="203"/>
        <v>52.33355699841789</v>
      </c>
      <c r="G367" s="19" t="s">
        <v>131</v>
      </c>
      <c r="H367" s="19">
        <f t="shared" si="203"/>
        <v>52.33355699841789</v>
      </c>
      <c r="I367" s="19">
        <f t="shared" si="203"/>
        <v>71.541620697929176</v>
      </c>
      <c r="J367" s="19">
        <f t="shared" si="203"/>
        <v>36.023264099567548</v>
      </c>
      <c r="K367" s="18" t="s">
        <v>131</v>
      </c>
      <c r="L367" s="34" t="s">
        <v>131</v>
      </c>
    </row>
    <row r="368" spans="1:12" s="53" customFormat="1" ht="20.100000000000001" customHeight="1" thickBot="1" x14ac:dyDescent="0.3">
      <c r="A368" s="328"/>
      <c r="B368" s="265" t="s">
        <v>212</v>
      </c>
      <c r="C368" s="75">
        <f>SUM(C363:C366)</f>
        <v>10322.00751569866</v>
      </c>
      <c r="D368" s="75">
        <f t="shared" ref="D368:J368" si="204">SUM(D363:D366)</f>
        <v>11523.039435799097</v>
      </c>
      <c r="E368" s="75">
        <f t="shared" si="204"/>
        <v>1730.283746619875</v>
      </c>
      <c r="F368" s="75">
        <f t="shared" si="204"/>
        <v>1003.2739009314466</v>
      </c>
      <c r="G368" s="75" t="s">
        <v>131</v>
      </c>
      <c r="H368" s="75">
        <f t="shared" si="204"/>
        <v>742.44097947433067</v>
      </c>
      <c r="I368" s="75">
        <f t="shared" si="204"/>
        <v>7701.4755151313466</v>
      </c>
      <c r="J368" s="75">
        <f t="shared" si="204"/>
        <v>7037.6369893230521</v>
      </c>
      <c r="K368" s="36" t="s">
        <v>131</v>
      </c>
      <c r="L368" s="37" t="s">
        <v>131</v>
      </c>
    </row>
    <row r="369" spans="1:12" s="72" customFormat="1" ht="20.100000000000001" hidden="1" customHeight="1" thickBot="1" x14ac:dyDescent="0.3">
      <c r="A369" s="327" t="s">
        <v>973</v>
      </c>
      <c r="B369" s="321" t="s">
        <v>48</v>
      </c>
      <c r="C369" s="9">
        <v>4968.7004686560458</v>
      </c>
      <c r="D369" s="9">
        <v>6824.5801650000003</v>
      </c>
      <c r="E369" s="9">
        <v>749.93597650062497</v>
      </c>
      <c r="F369" s="9">
        <v>477.70567987430258</v>
      </c>
      <c r="G369" s="9">
        <v>1199.9934913705583</v>
      </c>
      <c r="H369" s="9">
        <v>516.6704158647442</v>
      </c>
      <c r="I369" s="9">
        <v>2877.4212913705578</v>
      </c>
      <c r="J369" s="9">
        <v>2553.6542601395486</v>
      </c>
      <c r="K369" s="9" t="s">
        <v>131</v>
      </c>
      <c r="L369" s="20" t="s">
        <v>131</v>
      </c>
    </row>
    <row r="370" spans="1:12" s="73" customFormat="1" ht="20.100000000000001" customHeight="1" x14ac:dyDescent="0.25">
      <c r="A370" s="327"/>
      <c r="B370" s="322"/>
      <c r="C370" s="7">
        <f>C369/14.06*19.53*1.039</f>
        <v>7170.9267595173415</v>
      </c>
      <c r="D370" s="7">
        <f t="shared" ref="D370:J370" si="205">D369/14.06*19.53*1.039</f>
        <v>9849.3690324840354</v>
      </c>
      <c r="E370" s="7">
        <f t="shared" si="205"/>
        <v>1082.3224293227904</v>
      </c>
      <c r="F370" s="7">
        <f t="shared" si="205"/>
        <v>689.43428258428094</v>
      </c>
      <c r="G370" s="7">
        <f t="shared" si="205"/>
        <v>1731.8543335020781</v>
      </c>
      <c r="H370" s="7">
        <f t="shared" si="205"/>
        <v>745.66895999218718</v>
      </c>
      <c r="I370" s="7">
        <f t="shared" si="205"/>
        <v>4152.7513012421914</v>
      </c>
      <c r="J370" s="7">
        <f t="shared" si="205"/>
        <v>3685.4843201170602</v>
      </c>
      <c r="K370" s="7" t="s">
        <v>131</v>
      </c>
      <c r="L370" s="8" t="s">
        <v>131</v>
      </c>
    </row>
    <row r="371" spans="1:12" s="51" customFormat="1" ht="20.100000000000001" customHeight="1" x14ac:dyDescent="0.25">
      <c r="A371" s="327"/>
      <c r="B371" s="322"/>
      <c r="C371" s="35">
        <f>C370*0.0214</f>
        <v>153.45783265367109</v>
      </c>
      <c r="D371" s="35">
        <f t="shared" ref="D371:J371" si="206">D370*0.0214</f>
        <v>210.77649729515835</v>
      </c>
      <c r="E371" s="35">
        <f t="shared" si="206"/>
        <v>23.161699987507713</v>
      </c>
      <c r="F371" s="35">
        <f t="shared" si="206"/>
        <v>14.753893647303611</v>
      </c>
      <c r="G371" s="35">
        <f t="shared" si="206"/>
        <v>37.061682736944469</v>
      </c>
      <c r="H371" s="35">
        <f t="shared" si="206"/>
        <v>15.957315743832805</v>
      </c>
      <c r="I371" s="35">
        <f t="shared" si="206"/>
        <v>88.86887784658289</v>
      </c>
      <c r="J371" s="35">
        <f t="shared" si="206"/>
        <v>78.869364450505088</v>
      </c>
      <c r="K371" s="35" t="s">
        <v>131</v>
      </c>
      <c r="L371" s="63" t="s">
        <v>131</v>
      </c>
    </row>
    <row r="372" spans="1:12" s="53" customFormat="1" ht="20.100000000000001" hidden="1" customHeight="1" x14ac:dyDescent="0.25">
      <c r="A372" s="327"/>
      <c r="B372" s="322"/>
      <c r="C372" s="16">
        <f>6042/689.5</f>
        <v>8.7628716461203773</v>
      </c>
      <c r="D372" s="16">
        <f>4550/345</f>
        <v>13.188405797101449</v>
      </c>
      <c r="E372" s="16">
        <f>2151/689.5</f>
        <v>3.1196519216823786</v>
      </c>
      <c r="F372" s="16">
        <f>3340/2/689.5</f>
        <v>2.4220449601160263</v>
      </c>
      <c r="G372" s="16">
        <f>3032/689.5</f>
        <v>4.397389412617839</v>
      </c>
      <c r="H372" s="16">
        <f>F372</f>
        <v>2.4220449601160263</v>
      </c>
      <c r="I372" s="16">
        <f>4886/689.5</f>
        <v>7.0862944162436552</v>
      </c>
      <c r="J372" s="16">
        <f>1286/689.5</f>
        <v>1.8651196519216824</v>
      </c>
      <c r="K372" s="16" t="s">
        <v>131</v>
      </c>
      <c r="L372" s="15" t="s">
        <v>131</v>
      </c>
    </row>
    <row r="373" spans="1:12" s="53" customFormat="1" ht="20.100000000000001" hidden="1" customHeight="1" thickBot="1" x14ac:dyDescent="0.3">
      <c r="A373" s="327"/>
      <c r="B373" s="322"/>
      <c r="C373" s="18">
        <f>(1/689.5)*85895.22*1.2*P4</f>
        <v>185.15955350592725</v>
      </c>
      <c r="D373" s="19">
        <f>(1/689.5)*30063.48*1.2*P4</f>
        <v>64.80617354067401</v>
      </c>
      <c r="E373" s="18">
        <f>(1/689.5)*57263.82*1.2*P4</f>
        <v>123.44043525639476</v>
      </c>
      <c r="F373" s="19">
        <f>(1/689.5)*42948.12*1.2*P4</f>
        <v>92.580876131628557</v>
      </c>
      <c r="G373" s="19">
        <f>(1/689.5)*42948.12*1.2*P4</f>
        <v>92.580876131628557</v>
      </c>
      <c r="H373" s="19">
        <f>(1/689.5)*42948.12*1.2*P4</f>
        <v>92.580876131628557</v>
      </c>
      <c r="I373" s="19">
        <f>(1/689.5)*56547.78*1.2*P4</f>
        <v>121.896907610824</v>
      </c>
      <c r="J373" s="19">
        <f>(1/689.5)*70148.46*1.2*P4</f>
        <v>151.21513784734933</v>
      </c>
      <c r="K373" s="18" t="s">
        <v>131</v>
      </c>
      <c r="L373" s="34" t="s">
        <v>131</v>
      </c>
    </row>
    <row r="374" spans="1:12" s="53" customFormat="1" ht="20.100000000000001" customHeight="1" thickBot="1" x14ac:dyDescent="0.3">
      <c r="A374" s="327"/>
      <c r="B374" s="323"/>
      <c r="C374" s="18">
        <f>C373+C372</f>
        <v>193.92242515204762</v>
      </c>
      <c r="D374" s="18">
        <f t="shared" ref="D374:J374" si="207">D373+D372</f>
        <v>77.994579337775463</v>
      </c>
      <c r="E374" s="18">
        <f t="shared" si="207"/>
        <v>126.56008717807714</v>
      </c>
      <c r="F374" s="18">
        <f t="shared" si="207"/>
        <v>95.002921091744582</v>
      </c>
      <c r="G374" s="18">
        <f t="shared" si="207"/>
        <v>96.978265544246398</v>
      </c>
      <c r="H374" s="18">
        <f t="shared" si="207"/>
        <v>95.002921091744582</v>
      </c>
      <c r="I374" s="18">
        <f t="shared" si="207"/>
        <v>128.98320202706765</v>
      </c>
      <c r="J374" s="18">
        <f t="shared" si="207"/>
        <v>153.080257499271</v>
      </c>
      <c r="K374" s="18" t="s">
        <v>131</v>
      </c>
      <c r="L374" s="34" t="s">
        <v>131</v>
      </c>
    </row>
    <row r="375" spans="1:12" s="53" customFormat="1" ht="20.100000000000001" customHeight="1" thickBot="1" x14ac:dyDescent="0.3">
      <c r="A375" s="328"/>
      <c r="B375" s="259" t="s">
        <v>212</v>
      </c>
      <c r="C375" s="36">
        <f>SUM(C370:C373)</f>
        <v>7518.3070173230599</v>
      </c>
      <c r="D375" s="36">
        <f t="shared" ref="D375:J375" si="208">SUM(D370:D373)</f>
        <v>10138.14010911697</v>
      </c>
      <c r="E375" s="36">
        <f t="shared" si="208"/>
        <v>1232.0442164883752</v>
      </c>
      <c r="F375" s="36">
        <f t="shared" si="208"/>
        <v>799.19109732332913</v>
      </c>
      <c r="G375" s="36">
        <f t="shared" si="208"/>
        <v>1865.8942817832692</v>
      </c>
      <c r="H375" s="36">
        <f t="shared" si="208"/>
        <v>856.62919682776464</v>
      </c>
      <c r="I375" s="36">
        <f t="shared" si="208"/>
        <v>4370.6033811158422</v>
      </c>
      <c r="J375" s="36">
        <f t="shared" si="208"/>
        <v>3917.4339420668366</v>
      </c>
      <c r="K375" s="36" t="s">
        <v>131</v>
      </c>
      <c r="L375" s="37" t="s">
        <v>131</v>
      </c>
    </row>
    <row r="376" spans="1:12" s="53" customFormat="1" ht="20.100000000000001" hidden="1" customHeight="1" thickBot="1" x14ac:dyDescent="0.3">
      <c r="A376" s="327" t="s">
        <v>974</v>
      </c>
      <c r="B376" s="321" t="s">
        <v>36</v>
      </c>
      <c r="C376" s="9">
        <v>5707.3769728072857</v>
      </c>
      <c r="D376" s="9">
        <v>5037.0207533333332</v>
      </c>
      <c r="E376" s="9">
        <v>825.31393043839921</v>
      </c>
      <c r="F376" s="9">
        <v>497.2910602172048</v>
      </c>
      <c r="G376" s="9">
        <v>1289.7374908722111</v>
      </c>
      <c r="H376" s="9">
        <v>405.37923474358456</v>
      </c>
      <c r="I376" s="9">
        <v>2604.463412778905</v>
      </c>
      <c r="J376" s="9">
        <v>3553.9993526501003</v>
      </c>
      <c r="K376" s="9">
        <v>855.88499410518443</v>
      </c>
      <c r="L376" s="20" t="s">
        <v>131</v>
      </c>
    </row>
    <row r="377" spans="1:12" s="53" customFormat="1" ht="20.100000000000001" customHeight="1" x14ac:dyDescent="0.25">
      <c r="A377" s="327"/>
      <c r="B377" s="322"/>
      <c r="C377" s="10">
        <f>C376/14.06*19.53*1.039</f>
        <v>8236.9992957186623</v>
      </c>
      <c r="D377" s="10">
        <f t="shared" ref="D377:K377" si="209">D376/14.06*19.53*1.039</f>
        <v>7269.5279452198711</v>
      </c>
      <c r="E377" s="10">
        <f t="shared" si="209"/>
        <v>1191.1093828491432</v>
      </c>
      <c r="F377" s="10">
        <f t="shared" si="209"/>
        <v>717.7002907452096</v>
      </c>
      <c r="G377" s="10">
        <f t="shared" si="209"/>
        <v>1861.3746480374764</v>
      </c>
      <c r="H377" s="10">
        <f t="shared" si="209"/>
        <v>585.05132690393691</v>
      </c>
      <c r="I377" s="10">
        <f t="shared" si="209"/>
        <v>3758.8130938252716</v>
      </c>
      <c r="J377" s="10">
        <f t="shared" si="209"/>
        <v>5129.2021368555797</v>
      </c>
      <c r="K377" s="10">
        <f t="shared" si="209"/>
        <v>1235.2301463964686</v>
      </c>
      <c r="L377" s="8" t="s">
        <v>131</v>
      </c>
    </row>
    <row r="378" spans="1:12" s="53" customFormat="1" ht="20.100000000000001" customHeight="1" x14ac:dyDescent="0.25">
      <c r="A378" s="327"/>
      <c r="B378" s="322"/>
      <c r="C378" s="16">
        <f>C377*0.0214</f>
        <v>176.27178492837936</v>
      </c>
      <c r="D378" s="16">
        <f t="shared" ref="D378:K378" si="210">D377*0.0214</f>
        <v>155.56789802770524</v>
      </c>
      <c r="E378" s="16">
        <f t="shared" si="210"/>
        <v>25.489740792971663</v>
      </c>
      <c r="F378" s="16">
        <f t="shared" si="210"/>
        <v>15.358786221947485</v>
      </c>
      <c r="G378" s="16">
        <f t="shared" si="210"/>
        <v>39.83341746800199</v>
      </c>
      <c r="H378" s="16">
        <f t="shared" si="210"/>
        <v>12.520098395744249</v>
      </c>
      <c r="I378" s="16">
        <f t="shared" si="210"/>
        <v>80.438600207860802</v>
      </c>
      <c r="J378" s="16">
        <f t="shared" si="210"/>
        <v>109.7649257287094</v>
      </c>
      <c r="K378" s="16">
        <f t="shared" si="210"/>
        <v>26.433925132884426</v>
      </c>
      <c r="L378" s="15" t="s">
        <v>131</v>
      </c>
    </row>
    <row r="379" spans="1:12" s="53" customFormat="1" ht="20.100000000000001" hidden="1" customHeight="1" x14ac:dyDescent="0.25">
      <c r="A379" s="327"/>
      <c r="B379" s="322"/>
      <c r="C379" s="16">
        <f>6910/887.4</f>
        <v>7.7867928780707691</v>
      </c>
      <c r="D379" s="16">
        <f>5195/325</f>
        <v>15.984615384615385</v>
      </c>
      <c r="E379" s="16">
        <f>2696/887.4</f>
        <v>3.0380887987378862</v>
      </c>
      <c r="F379" s="16">
        <f>4226/2/887.4</f>
        <v>2.3811133648861844</v>
      </c>
      <c r="G379" s="16">
        <f>3828/887.4</f>
        <v>4.3137254901960782</v>
      </c>
      <c r="H379" s="16">
        <f>F379</f>
        <v>2.3811133648861844</v>
      </c>
      <c r="I379" s="16">
        <f>6213/887.4</f>
        <v>7.0013522650439484</v>
      </c>
      <c r="J379" s="16">
        <f>1441/887.4</f>
        <v>1.6238449402749606</v>
      </c>
      <c r="K379" s="16">
        <f>J379</f>
        <v>1.6238449402749606</v>
      </c>
      <c r="L379" s="15" t="s">
        <v>131</v>
      </c>
    </row>
    <row r="380" spans="1:12" s="53" customFormat="1" ht="20.100000000000001" hidden="1" customHeight="1" thickBot="1" x14ac:dyDescent="0.3">
      <c r="A380" s="327"/>
      <c r="B380" s="322"/>
      <c r="C380" s="18">
        <f>(1/887.4)*126466*1.2*P4</f>
        <v>211.81941148713568</v>
      </c>
      <c r="D380" s="18">
        <f>(1/887.4)*107496*1.2*P4</f>
        <v>180.04633227287283</v>
      </c>
      <c r="E380" s="18">
        <f>(1/887.4)*84310*1.2*P4</f>
        <v>141.21182438347387</v>
      </c>
      <c r="F380" s="18">
        <f>(1/887.4)*63233*1.2*P4</f>
        <v>105.90970574356784</v>
      </c>
      <c r="G380" s="19">
        <f>(1/887.4)*63233*1.2*P4</f>
        <v>105.90970574356784</v>
      </c>
      <c r="H380" s="19">
        <f>(1/887.4)*63233*1.2*P4</f>
        <v>105.90970574356784</v>
      </c>
      <c r="I380" s="19">
        <f>(1/887.4)*83256*1.2*P4</f>
        <v>139.44646721468987</v>
      </c>
      <c r="J380" s="19">
        <f>(1/887.4)*103280*1.2*P4</f>
        <v>172.98490359773672</v>
      </c>
      <c r="K380" s="18">
        <f>(1/887.4)*44263*1.2*P4</f>
        <v>74.136626529305005</v>
      </c>
      <c r="L380" s="34" t="s">
        <v>131</v>
      </c>
    </row>
    <row r="381" spans="1:12" s="53" customFormat="1" ht="20.100000000000001" customHeight="1" thickBot="1" x14ac:dyDescent="0.3">
      <c r="A381" s="327"/>
      <c r="B381" s="323"/>
      <c r="C381" s="18">
        <f>C380+C379</f>
        <v>219.60620436520645</v>
      </c>
      <c r="D381" s="18">
        <f t="shared" ref="D381:K381" si="211">D380+D379</f>
        <v>196.03094765748821</v>
      </c>
      <c r="E381" s="18">
        <f t="shared" si="211"/>
        <v>144.24991318221174</v>
      </c>
      <c r="F381" s="18">
        <f t="shared" si="211"/>
        <v>108.29081910845403</v>
      </c>
      <c r="G381" s="18">
        <f t="shared" si="211"/>
        <v>110.22343123376392</v>
      </c>
      <c r="H381" s="18">
        <f t="shared" si="211"/>
        <v>108.29081910845403</v>
      </c>
      <c r="I381" s="18">
        <f t="shared" si="211"/>
        <v>146.44781947973382</v>
      </c>
      <c r="J381" s="18">
        <f t="shared" si="211"/>
        <v>174.60874853801167</v>
      </c>
      <c r="K381" s="18">
        <f t="shared" si="211"/>
        <v>75.760471469579969</v>
      </c>
      <c r="L381" s="34" t="s">
        <v>131</v>
      </c>
    </row>
    <row r="382" spans="1:12" s="53" customFormat="1" ht="20.100000000000001" customHeight="1" thickBot="1" x14ac:dyDescent="0.3">
      <c r="A382" s="328"/>
      <c r="B382" s="259" t="s">
        <v>212</v>
      </c>
      <c r="C382" s="36">
        <f>SUM(C377:C380)</f>
        <v>8632.8772850122477</v>
      </c>
      <c r="D382" s="36">
        <f t="shared" ref="D382:K382" si="212">SUM(D377:D380)</f>
        <v>7621.1267909050648</v>
      </c>
      <c r="E382" s="36">
        <f t="shared" si="212"/>
        <v>1360.8490368243265</v>
      </c>
      <c r="F382" s="36">
        <f t="shared" si="212"/>
        <v>841.34989607561124</v>
      </c>
      <c r="G382" s="36">
        <f t="shared" si="212"/>
        <v>2011.4314967392422</v>
      </c>
      <c r="H382" s="36">
        <f t="shared" si="212"/>
        <v>705.86224440813533</v>
      </c>
      <c r="I382" s="36">
        <f t="shared" si="212"/>
        <v>3985.6995135128664</v>
      </c>
      <c r="J382" s="36">
        <f t="shared" si="212"/>
        <v>5413.5758111223013</v>
      </c>
      <c r="K382" s="36">
        <f t="shared" si="212"/>
        <v>1337.424542998933</v>
      </c>
      <c r="L382" s="37" t="s">
        <v>131</v>
      </c>
    </row>
    <row r="383" spans="1:12" s="53" customFormat="1" ht="20.100000000000001" hidden="1" customHeight="1" x14ac:dyDescent="0.25">
      <c r="A383" s="327" t="s">
        <v>975</v>
      </c>
      <c r="B383" s="321" t="s">
        <v>37</v>
      </c>
      <c r="C383" s="7">
        <v>3739.4200833331611</v>
      </c>
      <c r="D383" s="7">
        <v>7309.8916287209304</v>
      </c>
      <c r="E383" s="7">
        <v>623.32946946790037</v>
      </c>
      <c r="F383" s="7">
        <v>356.94816184031527</v>
      </c>
      <c r="G383" s="74">
        <v>818.3515139119221</v>
      </c>
      <c r="H383" s="74">
        <v>274.00457044288385</v>
      </c>
      <c r="I383" s="74">
        <v>1853.150897180763</v>
      </c>
      <c r="J383" s="74">
        <v>2414.839073175468</v>
      </c>
      <c r="K383" s="7">
        <v>540.23121508947054</v>
      </c>
      <c r="L383" s="8" t="s">
        <v>131</v>
      </c>
    </row>
    <row r="384" spans="1:12" s="53" customFormat="1" ht="20.100000000000001" customHeight="1" x14ac:dyDescent="0.25">
      <c r="A384" s="327"/>
      <c r="B384" s="322"/>
      <c r="C384" s="16">
        <f>C383/14.06*19.53*1.039</f>
        <v>5396.8050015909666</v>
      </c>
      <c r="D384" s="16">
        <f t="shared" ref="D384:K384" si="213">D383/14.06*19.53*1.039</f>
        <v>10549.780132700402</v>
      </c>
      <c r="E384" s="16">
        <f t="shared" si="213"/>
        <v>899.60141505815852</v>
      </c>
      <c r="F384" s="16">
        <f t="shared" si="213"/>
        <v>515.15464489119984</v>
      </c>
      <c r="G384" s="16">
        <f t="shared" si="213"/>
        <v>1181.061085654419</v>
      </c>
      <c r="H384" s="16">
        <f t="shared" si="213"/>
        <v>395.44881379222994</v>
      </c>
      <c r="I384" s="16">
        <f t="shared" si="213"/>
        <v>2674.5040160594572</v>
      </c>
      <c r="J384" s="16">
        <f t="shared" si="213"/>
        <v>3485.1434975805437</v>
      </c>
      <c r="K384" s="16">
        <f t="shared" si="213"/>
        <v>779.67237128695274</v>
      </c>
      <c r="L384" s="15" t="s">
        <v>131</v>
      </c>
    </row>
    <row r="385" spans="1:12" s="53" customFormat="1" ht="20.100000000000001" customHeight="1" x14ac:dyDescent="0.25">
      <c r="A385" s="327"/>
      <c r="B385" s="322"/>
      <c r="C385" s="16">
        <f>C384*0.0214</f>
        <v>115.49162703404669</v>
      </c>
      <c r="D385" s="16">
        <f t="shared" ref="D385:K385" si="214">D384*0.0214</f>
        <v>225.7652948397886</v>
      </c>
      <c r="E385" s="16">
        <f t="shared" si="214"/>
        <v>19.25147028224459</v>
      </c>
      <c r="F385" s="16">
        <f t="shared" si="214"/>
        <v>11.024309400671676</v>
      </c>
      <c r="G385" s="16">
        <f t="shared" si="214"/>
        <v>25.274707233004566</v>
      </c>
      <c r="H385" s="16">
        <f t="shared" si="214"/>
        <v>8.4626046151537206</v>
      </c>
      <c r="I385" s="16">
        <f t="shared" si="214"/>
        <v>57.234385943672379</v>
      </c>
      <c r="J385" s="16">
        <f t="shared" si="214"/>
        <v>74.582070848223637</v>
      </c>
      <c r="K385" s="16">
        <f t="shared" si="214"/>
        <v>16.684988745540789</v>
      </c>
      <c r="L385" s="15" t="s">
        <v>131</v>
      </c>
    </row>
    <row r="386" spans="1:12" s="53" customFormat="1" ht="19.5" hidden="1" customHeight="1" x14ac:dyDescent="0.25">
      <c r="A386" s="327"/>
      <c r="B386" s="322"/>
      <c r="C386" s="16">
        <f>12474/1628.1</f>
        <v>7.6616915422885574</v>
      </c>
      <c r="D386" s="16">
        <f>9325/543</f>
        <v>17.173112338858196</v>
      </c>
      <c r="E386" s="16">
        <f>4739/1628.1</f>
        <v>2.9107548676371233</v>
      </c>
      <c r="F386" s="16">
        <f>10465/2/1628.1</f>
        <v>3.213868926970088</v>
      </c>
      <c r="G386" s="16">
        <f>7546/1628.1</f>
        <v>4.6348504391622143</v>
      </c>
      <c r="H386" s="16">
        <f>F386</f>
        <v>3.213868926970088</v>
      </c>
      <c r="I386" s="16">
        <f>18490/1628.1</f>
        <v>11.356796265585652</v>
      </c>
      <c r="J386" s="16">
        <f>2436/1628.1</f>
        <v>1.496222590749954</v>
      </c>
      <c r="K386" s="16">
        <f>J386</f>
        <v>1.496222590749954</v>
      </c>
      <c r="L386" s="15" t="s">
        <v>131</v>
      </c>
    </row>
    <row r="387" spans="1:12" s="53" customFormat="1" ht="20.100000000000001" hidden="1" customHeight="1" thickBot="1" x14ac:dyDescent="0.25">
      <c r="A387" s="327"/>
      <c r="B387" s="322"/>
      <c r="C387" s="16">
        <f>(1/1628.1)*138458.88*1.2</f>
        <v>102.05187396351576</v>
      </c>
      <c r="D387" s="16">
        <f>(1/543)*48460.2*1.2</f>
        <v>107.09436464088397</v>
      </c>
      <c r="E387" s="16">
        <f>(1/1628.1)*92305.92*1.2</f>
        <v>68.034582642343835</v>
      </c>
      <c r="F387" s="32">
        <f>(1/1628.1)*69229.44*1.2</f>
        <v>51.02593698175788</v>
      </c>
      <c r="G387" s="32">
        <f>(1/1628.1)*69229.44*1.2</f>
        <v>51.02593698175788</v>
      </c>
      <c r="H387" s="32">
        <f>(1/1628.1)*69229.44*1.2</f>
        <v>51.02593698175788</v>
      </c>
      <c r="I387" s="32">
        <f>(1/1628.1)*91152.3*1.2</f>
        <v>67.184300718629075</v>
      </c>
      <c r="J387" s="32">
        <f>(1/1628.1)*113075.16*1.2</f>
        <v>83.34266445550027</v>
      </c>
      <c r="K387" s="32">
        <f>(1/1628.1)*48460.2*1.2</f>
        <v>35.717855168601432</v>
      </c>
      <c r="L387" s="15" t="s">
        <v>131</v>
      </c>
    </row>
    <row r="388" spans="1:12" s="53" customFormat="1" ht="20.100000000000001" customHeight="1" thickBot="1" x14ac:dyDescent="0.3">
      <c r="A388" s="327"/>
      <c r="B388" s="323"/>
      <c r="C388" s="23">
        <f>C387+C386</f>
        <v>109.71356550580431</v>
      </c>
      <c r="D388" s="23">
        <f t="shared" ref="D388:K388" si="215">D387+D386</f>
        <v>124.26747697974216</v>
      </c>
      <c r="E388" s="23">
        <f t="shared" si="215"/>
        <v>70.945337509980959</v>
      </c>
      <c r="F388" s="23">
        <f t="shared" si="215"/>
        <v>54.239805908727966</v>
      </c>
      <c r="G388" s="23">
        <f t="shared" si="215"/>
        <v>55.660787420920094</v>
      </c>
      <c r="H388" s="23">
        <f t="shared" si="215"/>
        <v>54.239805908727966</v>
      </c>
      <c r="I388" s="23">
        <f t="shared" si="215"/>
        <v>78.541096984214732</v>
      </c>
      <c r="J388" s="23">
        <f t="shared" si="215"/>
        <v>84.838887046250221</v>
      </c>
      <c r="K388" s="23">
        <f t="shared" si="215"/>
        <v>37.214077759351383</v>
      </c>
      <c r="L388" s="21"/>
    </row>
    <row r="389" spans="1:12" s="53" customFormat="1" ht="20.100000000000001" customHeight="1" thickBot="1" x14ac:dyDescent="0.3">
      <c r="A389" s="328"/>
      <c r="B389" s="259" t="s">
        <v>212</v>
      </c>
      <c r="C389" s="36">
        <f>SUM(C384:C387)</f>
        <v>5622.0101941308167</v>
      </c>
      <c r="D389" s="36">
        <f t="shared" ref="D389:K389" si="216">SUM(D384:D387)</f>
        <v>10899.812904519931</v>
      </c>
      <c r="E389" s="36">
        <f t="shared" si="216"/>
        <v>989.79822285038404</v>
      </c>
      <c r="F389" s="36">
        <f t="shared" si="216"/>
        <v>580.41876020059954</v>
      </c>
      <c r="G389" s="36">
        <f t="shared" si="216"/>
        <v>1261.9965803083437</v>
      </c>
      <c r="H389" s="36">
        <f t="shared" si="216"/>
        <v>458.15122431611161</v>
      </c>
      <c r="I389" s="36">
        <f t="shared" si="216"/>
        <v>2810.2794989873441</v>
      </c>
      <c r="J389" s="36">
        <f t="shared" si="216"/>
        <v>3644.5644554750174</v>
      </c>
      <c r="K389" s="36">
        <f t="shared" si="216"/>
        <v>833.57143779184491</v>
      </c>
      <c r="L389" s="37" t="s">
        <v>131</v>
      </c>
    </row>
    <row r="390" spans="1:12" s="53" customFormat="1" ht="20.100000000000001" hidden="1" customHeight="1" thickBot="1" x14ac:dyDescent="0.3">
      <c r="A390" s="327" t="s">
        <v>976</v>
      </c>
      <c r="B390" s="321" t="s">
        <v>161</v>
      </c>
      <c r="C390" s="9">
        <v>4089.6624367741938</v>
      </c>
      <c r="D390" s="9">
        <v>7467.131002656547</v>
      </c>
      <c r="E390" s="9">
        <v>589.49599634408605</v>
      </c>
      <c r="F390" s="9">
        <v>410.50098494623649</v>
      </c>
      <c r="G390" s="9">
        <v>959.92387354838718</v>
      </c>
      <c r="H390" s="9">
        <v>476.4356649462365</v>
      </c>
      <c r="I390" s="9">
        <v>1524.5995243010752</v>
      </c>
      <c r="J390" s="9">
        <v>1825.6843974193548</v>
      </c>
      <c r="K390" s="9">
        <v>421.56983806451615</v>
      </c>
      <c r="L390" s="20" t="s">
        <v>131</v>
      </c>
    </row>
    <row r="391" spans="1:12" s="53" customFormat="1" ht="20.100000000000001" customHeight="1" x14ac:dyDescent="0.25">
      <c r="A391" s="327"/>
      <c r="B391" s="322"/>
      <c r="C391" s="10">
        <f>C390/14.06*19.53*1.039</f>
        <v>5902.2816912103699</v>
      </c>
      <c r="D391" s="10">
        <f t="shared" ref="D391:K391" si="217">D390/14.06*19.53*1.039</f>
        <v>10776.711106164707</v>
      </c>
      <c r="E391" s="10">
        <f t="shared" si="217"/>
        <v>850.77227767677095</v>
      </c>
      <c r="F391" s="10">
        <f t="shared" si="217"/>
        <v>592.44313806571824</v>
      </c>
      <c r="G391" s="10">
        <f t="shared" si="217"/>
        <v>1385.381114307653</v>
      </c>
      <c r="H391" s="10">
        <f t="shared" si="217"/>
        <v>687.6013719288477</v>
      </c>
      <c r="I391" s="10">
        <f t="shared" si="217"/>
        <v>2200.3321784690183</v>
      </c>
      <c r="J391" s="10">
        <f t="shared" si="217"/>
        <v>2634.8638205250636</v>
      </c>
      <c r="K391" s="10">
        <f t="shared" si="217"/>
        <v>608.41792574385488</v>
      </c>
      <c r="L391" s="26" t="s">
        <v>131</v>
      </c>
    </row>
    <row r="392" spans="1:12" s="53" customFormat="1" ht="20.100000000000001" customHeight="1" x14ac:dyDescent="0.25">
      <c r="A392" s="327"/>
      <c r="B392" s="322"/>
      <c r="C392" s="16">
        <f>C391*0.0214</f>
        <v>126.30882819190191</v>
      </c>
      <c r="D392" s="16">
        <f t="shared" ref="D392:K392" si="218">D391*0.0214</f>
        <v>230.6216176719247</v>
      </c>
      <c r="E392" s="16">
        <f t="shared" si="218"/>
        <v>18.206526742282897</v>
      </c>
      <c r="F392" s="16">
        <f t="shared" si="218"/>
        <v>12.678283154606369</v>
      </c>
      <c r="G392" s="16">
        <f t="shared" si="218"/>
        <v>29.647155846183772</v>
      </c>
      <c r="H392" s="16">
        <f t="shared" si="218"/>
        <v>14.714669359277339</v>
      </c>
      <c r="I392" s="16">
        <f t="shared" si="218"/>
        <v>47.087108619236993</v>
      </c>
      <c r="J392" s="16">
        <f t="shared" si="218"/>
        <v>56.386085759236359</v>
      </c>
      <c r="K392" s="16">
        <f t="shared" si="218"/>
        <v>13.020143610918494</v>
      </c>
      <c r="L392" s="15" t="s">
        <v>131</v>
      </c>
    </row>
    <row r="393" spans="1:12" s="53" customFormat="1" ht="20.100000000000001" hidden="1" customHeight="1" x14ac:dyDescent="0.25">
      <c r="A393" s="327"/>
      <c r="B393" s="322"/>
      <c r="C393" s="10">
        <f>10332/1472.7</f>
        <v>7.015685475656956</v>
      </c>
      <c r="D393" s="10">
        <f>7721/368</f>
        <v>20.980978260869566</v>
      </c>
      <c r="E393" s="10">
        <f>4256/1472.7</f>
        <v>2.8899300604332177</v>
      </c>
      <c r="F393" s="10">
        <f>9434/2/1472.7</f>
        <v>3.2029605486521353</v>
      </c>
      <c r="G393" s="10">
        <f>6794/1472.7</f>
        <v>4.6132953079378014</v>
      </c>
      <c r="H393" s="10">
        <f>F393</f>
        <v>3.2029605486521353</v>
      </c>
      <c r="I393" s="10">
        <f>10094/1472.7</f>
        <v>6.8540775446458886</v>
      </c>
      <c r="J393" s="10">
        <f>2007/1472.7</f>
        <v>1.3628030148706458</v>
      </c>
      <c r="K393" s="10">
        <f>J393</f>
        <v>1.3628030148706458</v>
      </c>
      <c r="L393" s="26" t="s">
        <v>131</v>
      </c>
    </row>
    <row r="394" spans="1:12" s="53" customFormat="1" ht="20.100000000000001" hidden="1" customHeight="1" thickBot="1" x14ac:dyDescent="0.3">
      <c r="A394" s="327"/>
      <c r="B394" s="322"/>
      <c r="C394" s="9">
        <f>162.336894944425*P4</f>
        <v>201.07005087580967</v>
      </c>
      <c r="D394" s="9">
        <f>56.818352097526*P4</f>
        <v>70.375061386016498</v>
      </c>
      <c r="E394" s="9">
        <f>108.224596629616*P4</f>
        <v>134.04670058387228</v>
      </c>
      <c r="F394" s="24">
        <f>81.1684474722123*P4</f>
        <v>100.53502543790459</v>
      </c>
      <c r="G394" s="24">
        <f>81.1684474722123*P4</f>
        <v>100.53502543790459</v>
      </c>
      <c r="H394" s="24">
        <f>81.1684474722123*P4</f>
        <v>100.53502543790459</v>
      </c>
      <c r="I394" s="24">
        <f>106.872008605235*P4</f>
        <v>132.37138861631615</v>
      </c>
      <c r="J394" s="24">
        <f>132.575569738257*P4</f>
        <v>164.20775179472685</v>
      </c>
      <c r="K394" s="24">
        <f>56.818352097526*P4</f>
        <v>70.375061386016498</v>
      </c>
      <c r="L394" s="20" t="s">
        <v>131</v>
      </c>
    </row>
    <row r="395" spans="1:12" s="53" customFormat="1" ht="20.100000000000001" customHeight="1" thickBot="1" x14ac:dyDescent="0.3">
      <c r="A395" s="327"/>
      <c r="B395" s="323"/>
      <c r="C395" s="18">
        <f>C394+C393</f>
        <v>208.08573635146664</v>
      </c>
      <c r="D395" s="18">
        <f t="shared" ref="D395:K395" si="219">D394+D393</f>
        <v>91.35603964688606</v>
      </c>
      <c r="E395" s="18">
        <f t="shared" si="219"/>
        <v>136.9366306443055</v>
      </c>
      <c r="F395" s="18">
        <f t="shared" si="219"/>
        <v>103.73798598655672</v>
      </c>
      <c r="G395" s="18">
        <f t="shared" si="219"/>
        <v>105.1483207458424</v>
      </c>
      <c r="H395" s="18">
        <f t="shared" si="219"/>
        <v>103.73798598655672</v>
      </c>
      <c r="I395" s="18">
        <f t="shared" si="219"/>
        <v>139.22546616096204</v>
      </c>
      <c r="J395" s="18">
        <f t="shared" si="219"/>
        <v>165.5705548095975</v>
      </c>
      <c r="K395" s="18">
        <f t="shared" si="219"/>
        <v>71.737864400887148</v>
      </c>
      <c r="L395" s="34" t="s">
        <v>131</v>
      </c>
    </row>
    <row r="396" spans="1:12" s="53" customFormat="1" ht="20.100000000000001" customHeight="1" thickBot="1" x14ac:dyDescent="0.3">
      <c r="A396" s="328"/>
      <c r="B396" s="259" t="s">
        <v>212</v>
      </c>
      <c r="C396" s="36">
        <f>SUM(C391:C394)</f>
        <v>6236.6762557537386</v>
      </c>
      <c r="D396" s="36">
        <f t="shared" ref="D396:K396" si="220">SUM(D391:D394)</f>
        <v>11098.688763483517</v>
      </c>
      <c r="E396" s="36">
        <f t="shared" si="220"/>
        <v>1005.9154350633594</v>
      </c>
      <c r="F396" s="36">
        <f t="shared" si="220"/>
        <v>708.85940720688131</v>
      </c>
      <c r="G396" s="36">
        <f t="shared" si="220"/>
        <v>1520.176590899679</v>
      </c>
      <c r="H396" s="36">
        <f t="shared" si="220"/>
        <v>806.05402727468174</v>
      </c>
      <c r="I396" s="36">
        <f t="shared" si="220"/>
        <v>2386.6447532492175</v>
      </c>
      <c r="J396" s="36">
        <f t="shared" si="220"/>
        <v>2856.8204610938974</v>
      </c>
      <c r="K396" s="36">
        <f t="shared" si="220"/>
        <v>693.17593375566048</v>
      </c>
      <c r="L396" s="37" t="s">
        <v>131</v>
      </c>
    </row>
    <row r="397" spans="1:12" s="53" customFormat="1" ht="20.100000000000001" hidden="1" customHeight="1" thickBot="1" x14ac:dyDescent="0.3">
      <c r="A397" s="327" t="s">
        <v>977</v>
      </c>
      <c r="B397" s="321" t="s">
        <v>230</v>
      </c>
      <c r="C397" s="9">
        <v>4089.6624367741938</v>
      </c>
      <c r="D397" s="9">
        <v>7467.131002656547</v>
      </c>
      <c r="E397" s="9">
        <v>589.49599634408605</v>
      </c>
      <c r="F397" s="9">
        <v>410.50098494623649</v>
      </c>
      <c r="G397" s="9">
        <v>959.92387354838718</v>
      </c>
      <c r="H397" s="9">
        <v>476.4356649462365</v>
      </c>
      <c r="I397" s="9">
        <v>1524.5995243010752</v>
      </c>
      <c r="J397" s="9">
        <v>1825.6843974193548</v>
      </c>
      <c r="K397" s="9">
        <v>421.56983806451615</v>
      </c>
      <c r="L397" s="20" t="s">
        <v>131</v>
      </c>
    </row>
    <row r="398" spans="1:12" s="53" customFormat="1" ht="20.100000000000001" customHeight="1" x14ac:dyDescent="0.25">
      <c r="A398" s="327"/>
      <c r="B398" s="322"/>
      <c r="C398" s="10">
        <f>C397/14.06*19.53*1.039</f>
        <v>5902.2816912103699</v>
      </c>
      <c r="D398" s="10">
        <f t="shared" ref="D398:K398" si="221">D397/14.06*19.53*1.039</f>
        <v>10776.711106164707</v>
      </c>
      <c r="E398" s="10">
        <f t="shared" si="221"/>
        <v>850.77227767677095</v>
      </c>
      <c r="F398" s="10">
        <f t="shared" si="221"/>
        <v>592.44313806571824</v>
      </c>
      <c r="G398" s="10">
        <f t="shared" si="221"/>
        <v>1385.381114307653</v>
      </c>
      <c r="H398" s="10">
        <f t="shared" si="221"/>
        <v>687.6013719288477</v>
      </c>
      <c r="I398" s="10">
        <f t="shared" si="221"/>
        <v>2200.3321784690183</v>
      </c>
      <c r="J398" s="10">
        <f t="shared" si="221"/>
        <v>2634.8638205250636</v>
      </c>
      <c r="K398" s="10">
        <f t="shared" si="221"/>
        <v>608.41792574385488</v>
      </c>
      <c r="L398" s="26" t="s">
        <v>131</v>
      </c>
    </row>
    <row r="399" spans="1:12" s="53" customFormat="1" ht="20.100000000000001" customHeight="1" x14ac:dyDescent="0.25">
      <c r="A399" s="327"/>
      <c r="B399" s="322"/>
      <c r="C399" s="16">
        <f>C398*0.0214</f>
        <v>126.30882819190191</v>
      </c>
      <c r="D399" s="16">
        <f t="shared" ref="D399:K399" si="222">D398*0.0214</f>
        <v>230.6216176719247</v>
      </c>
      <c r="E399" s="16">
        <f t="shared" si="222"/>
        <v>18.206526742282897</v>
      </c>
      <c r="F399" s="16">
        <f t="shared" si="222"/>
        <v>12.678283154606369</v>
      </c>
      <c r="G399" s="16">
        <f t="shared" si="222"/>
        <v>29.647155846183772</v>
      </c>
      <c r="H399" s="16">
        <f t="shared" si="222"/>
        <v>14.714669359277339</v>
      </c>
      <c r="I399" s="16">
        <f t="shared" si="222"/>
        <v>47.087108619236993</v>
      </c>
      <c r="J399" s="16">
        <f t="shared" si="222"/>
        <v>56.386085759236359</v>
      </c>
      <c r="K399" s="16">
        <f t="shared" si="222"/>
        <v>13.020143610918494</v>
      </c>
      <c r="L399" s="15" t="s">
        <v>131</v>
      </c>
    </row>
    <row r="400" spans="1:12" s="53" customFormat="1" ht="20.100000000000001" hidden="1" customHeight="1" x14ac:dyDescent="0.25">
      <c r="A400" s="327"/>
      <c r="B400" s="322"/>
      <c r="C400" s="10">
        <f>10332/1472.7</f>
        <v>7.015685475656956</v>
      </c>
      <c r="D400" s="10">
        <f>7721/368</f>
        <v>20.980978260869566</v>
      </c>
      <c r="E400" s="10">
        <f>4256/1472.7</f>
        <v>2.8899300604332177</v>
      </c>
      <c r="F400" s="10">
        <f>9434/2/1472.7</f>
        <v>3.2029605486521353</v>
      </c>
      <c r="G400" s="10">
        <f>6794/1472.7</f>
        <v>4.6132953079378014</v>
      </c>
      <c r="H400" s="10">
        <f>F400</f>
        <v>3.2029605486521353</v>
      </c>
      <c r="I400" s="10">
        <f>10094/1472.7</f>
        <v>6.8540775446458886</v>
      </c>
      <c r="J400" s="10">
        <f>2007/1472.7</f>
        <v>1.3628030148706458</v>
      </c>
      <c r="K400" s="10">
        <f>J400</f>
        <v>1.3628030148706458</v>
      </c>
      <c r="L400" s="26" t="s">
        <v>131</v>
      </c>
    </row>
    <row r="401" spans="1:12" s="53" customFormat="1" ht="20.100000000000001" hidden="1" customHeight="1" thickBot="1" x14ac:dyDescent="0.3">
      <c r="A401" s="327"/>
      <c r="B401" s="322"/>
      <c r="C401" s="9">
        <v>201.07005087580967</v>
      </c>
      <c r="D401" s="9">
        <v>70.375061386016498</v>
      </c>
      <c r="E401" s="9">
        <v>134.04670058387228</v>
      </c>
      <c r="F401" s="24">
        <v>100.53502543790459</v>
      </c>
      <c r="G401" s="24">
        <v>100.53502543790459</v>
      </c>
      <c r="H401" s="24">
        <v>100.53502543790459</v>
      </c>
      <c r="I401" s="24">
        <v>132.37138861631615</v>
      </c>
      <c r="J401" s="24">
        <v>164.20775179472685</v>
      </c>
      <c r="K401" s="24">
        <v>70.375061386016498</v>
      </c>
      <c r="L401" s="20" t="s">
        <v>131</v>
      </c>
    </row>
    <row r="402" spans="1:12" s="53" customFormat="1" ht="20.100000000000001" customHeight="1" thickBot="1" x14ac:dyDescent="0.3">
      <c r="A402" s="327"/>
      <c r="B402" s="323"/>
      <c r="C402" s="18">
        <f>C401+C400</f>
        <v>208.08573635146664</v>
      </c>
      <c r="D402" s="18">
        <f t="shared" ref="D402:K402" si="223">D401+D400</f>
        <v>91.35603964688606</v>
      </c>
      <c r="E402" s="18">
        <f t="shared" si="223"/>
        <v>136.9366306443055</v>
      </c>
      <c r="F402" s="18">
        <f t="shared" si="223"/>
        <v>103.73798598655672</v>
      </c>
      <c r="G402" s="18">
        <f t="shared" si="223"/>
        <v>105.1483207458424</v>
      </c>
      <c r="H402" s="18">
        <f t="shared" si="223"/>
        <v>103.73798598655672</v>
      </c>
      <c r="I402" s="18">
        <f t="shared" si="223"/>
        <v>139.22546616096204</v>
      </c>
      <c r="J402" s="18">
        <f t="shared" si="223"/>
        <v>165.5705548095975</v>
      </c>
      <c r="K402" s="18">
        <f t="shared" si="223"/>
        <v>71.737864400887148</v>
      </c>
      <c r="L402" s="34" t="s">
        <v>131</v>
      </c>
    </row>
    <row r="403" spans="1:12" s="53" customFormat="1" ht="20.100000000000001" customHeight="1" thickBot="1" x14ac:dyDescent="0.3">
      <c r="A403" s="328"/>
      <c r="B403" s="259" t="s">
        <v>212</v>
      </c>
      <c r="C403" s="36">
        <f>SUM(C398:C401)</f>
        <v>6236.6762557537386</v>
      </c>
      <c r="D403" s="36">
        <f t="shared" ref="D403:K403" si="224">SUM(D398:D401)</f>
        <v>11098.688763483517</v>
      </c>
      <c r="E403" s="36">
        <f t="shared" si="224"/>
        <v>1005.9154350633594</v>
      </c>
      <c r="F403" s="36">
        <f t="shared" si="224"/>
        <v>708.85940720688131</v>
      </c>
      <c r="G403" s="36">
        <f t="shared" si="224"/>
        <v>1520.176590899679</v>
      </c>
      <c r="H403" s="36">
        <f t="shared" si="224"/>
        <v>806.05402727468174</v>
      </c>
      <c r="I403" s="36">
        <f t="shared" si="224"/>
        <v>2386.6447532492175</v>
      </c>
      <c r="J403" s="36">
        <f t="shared" si="224"/>
        <v>2856.8204610938974</v>
      </c>
      <c r="K403" s="36">
        <f t="shared" si="224"/>
        <v>693.17593375566048</v>
      </c>
      <c r="L403" s="37" t="s">
        <v>131</v>
      </c>
    </row>
    <row r="404" spans="1:12" s="53" customFormat="1" ht="20.100000000000001" hidden="1" customHeight="1" thickBot="1" x14ac:dyDescent="0.3">
      <c r="A404" s="327" t="s">
        <v>978</v>
      </c>
      <c r="B404" s="321" t="s">
        <v>162</v>
      </c>
      <c r="C404" s="9">
        <v>10659.42962903226</v>
      </c>
      <c r="D404" s="9">
        <v>6574.9578548387108</v>
      </c>
      <c r="E404" s="9">
        <v>1314.3190440860214</v>
      </c>
      <c r="F404" s="9">
        <v>701.30176666666671</v>
      </c>
      <c r="G404" s="9" t="s">
        <v>131</v>
      </c>
      <c r="H404" s="9">
        <v>680.12839247311842</v>
      </c>
      <c r="I404" s="9">
        <v>6449.3180913978495</v>
      </c>
      <c r="J404" s="9">
        <v>8123.0627333333323</v>
      </c>
      <c r="K404" s="36" t="s">
        <v>131</v>
      </c>
      <c r="L404" s="21" t="s">
        <v>131</v>
      </c>
    </row>
    <row r="405" spans="1:12" s="53" customFormat="1" ht="20.100000000000001" customHeight="1" x14ac:dyDescent="0.25">
      <c r="A405" s="327"/>
      <c r="B405" s="322"/>
      <c r="C405" s="10">
        <f>C404/12.79*19.53*1.039</f>
        <v>16911.464301840897</v>
      </c>
      <c r="D405" s="10">
        <f>D404/12.79*19.53*1.039</f>
        <v>10431.342850218531</v>
      </c>
      <c r="E405" s="10">
        <f>E404/12.79*19.53*1.039</f>
        <v>2085.2015885308051</v>
      </c>
      <c r="F405" s="10">
        <f>F404/12.79*19.53*1.039</f>
        <v>1112.6336215494136</v>
      </c>
      <c r="G405" s="10" t="s">
        <v>131</v>
      </c>
      <c r="H405" s="10">
        <f>H404/12.79*19.53*1.039</f>
        <v>1079.0415088111811</v>
      </c>
      <c r="I405" s="10">
        <f>I404/12.79*19.53*1.039</f>
        <v>10232.012074720484</v>
      </c>
      <c r="J405" s="10">
        <f>J404/12.79*19.53*1.039</f>
        <v>12887.451788436119</v>
      </c>
      <c r="K405" s="10" t="s">
        <v>131</v>
      </c>
      <c r="L405" s="21" t="s">
        <v>131</v>
      </c>
    </row>
    <row r="406" spans="1:12" s="53" customFormat="1" ht="20.100000000000001" customHeight="1" x14ac:dyDescent="0.25">
      <c r="A406" s="327"/>
      <c r="B406" s="322"/>
      <c r="C406" s="16">
        <f>C405*0.0214</f>
        <v>361.90533605939515</v>
      </c>
      <c r="D406" s="16">
        <f t="shared" ref="D406:F406" si="225">D405*0.0214</f>
        <v>223.23073699467653</v>
      </c>
      <c r="E406" s="16">
        <f t="shared" si="225"/>
        <v>44.623313994559226</v>
      </c>
      <c r="F406" s="16">
        <f t="shared" si="225"/>
        <v>23.81035950115745</v>
      </c>
      <c r="G406" s="16" t="s">
        <v>131</v>
      </c>
      <c r="H406" s="16">
        <f t="shared" ref="H406" si="226">H405*0.0214</f>
        <v>23.091488288559272</v>
      </c>
      <c r="I406" s="16">
        <f t="shared" ref="I406" si="227">I405*0.0214</f>
        <v>218.96505839901835</v>
      </c>
      <c r="J406" s="16">
        <f t="shared" ref="J406" si="228">J405*0.0214</f>
        <v>275.79146827253294</v>
      </c>
      <c r="K406" s="16" t="s">
        <v>131</v>
      </c>
      <c r="L406" s="15" t="s">
        <v>131</v>
      </c>
    </row>
    <row r="407" spans="1:12" s="53" customFormat="1" ht="20.100000000000001" hidden="1" customHeight="1" x14ac:dyDescent="0.25">
      <c r="A407" s="327"/>
      <c r="B407" s="322"/>
      <c r="C407" s="16">
        <f>12764/1497</f>
        <v>8.5263861055444217</v>
      </c>
      <c r="D407" s="16">
        <f>9526/748.5</f>
        <v>12.726786907147629</v>
      </c>
      <c r="E407" s="16">
        <f>4322/1497</f>
        <v>2.8871075484301936</v>
      </c>
      <c r="F407" s="16">
        <f>9585/2/1497</f>
        <v>3.2014028056112225</v>
      </c>
      <c r="G407" s="16" t="s">
        <v>131</v>
      </c>
      <c r="H407" s="16">
        <f>F407</f>
        <v>3.2014028056112225</v>
      </c>
      <c r="I407" s="16">
        <f>10256/1497</f>
        <v>6.8510354041416166</v>
      </c>
      <c r="J407" s="16">
        <f>2442/1497</f>
        <v>1.6312625250501003</v>
      </c>
      <c r="K407" s="16" t="s">
        <v>131</v>
      </c>
      <c r="L407" s="15" t="s">
        <v>131</v>
      </c>
    </row>
    <row r="408" spans="1:12" s="53" customFormat="1" ht="20.100000000000001" hidden="1" customHeight="1" thickBot="1" x14ac:dyDescent="0.3">
      <c r="A408" s="327"/>
      <c r="B408" s="322"/>
      <c r="C408" s="9">
        <f>(1/1628.1)*138458.88*1.2*P4</f>
        <v>126.40118253364754</v>
      </c>
      <c r="D408" s="9">
        <f>(1/748.5)*48460.2*1.2*P4</f>
        <v>96.228739387828284</v>
      </c>
      <c r="E408" s="9">
        <f>(1/1628.1)*92305.92*1.2*P4</f>
        <v>84.26745502243169</v>
      </c>
      <c r="F408" s="24">
        <f>(1/1628.1)*69229.44*1.2*P4</f>
        <v>63.200591266823771</v>
      </c>
      <c r="G408" s="24" t="s">
        <v>131</v>
      </c>
      <c r="H408" s="163">
        <f>(1/1628.1)*69229.44*1.2*P4</f>
        <v>63.200591266823771</v>
      </c>
      <c r="I408" s="24">
        <f>(1/1628.1)*91152.3*1.2*P4</f>
        <v>83.2142980693026</v>
      </c>
      <c r="J408" s="24">
        <f>(1/1628.1)*113075.16*1.2*P4</f>
        <v>103.22800487178142</v>
      </c>
      <c r="K408" s="9" t="s">
        <v>131</v>
      </c>
      <c r="L408" s="20" t="s">
        <v>131</v>
      </c>
    </row>
    <row r="409" spans="1:12" s="53" customFormat="1" ht="20.100000000000001" customHeight="1" thickBot="1" x14ac:dyDescent="0.3">
      <c r="A409" s="327"/>
      <c r="B409" s="323"/>
      <c r="C409" s="18">
        <f>C408+C407</f>
        <v>134.92756863919197</v>
      </c>
      <c r="D409" s="18">
        <f t="shared" ref="D409:J409" si="229">D408+D407</f>
        <v>108.95552629497591</v>
      </c>
      <c r="E409" s="18">
        <f t="shared" si="229"/>
        <v>87.154562570861884</v>
      </c>
      <c r="F409" s="18">
        <f t="shared" si="229"/>
        <v>66.401994072434988</v>
      </c>
      <c r="G409" s="18" t="s">
        <v>131</v>
      </c>
      <c r="H409" s="18">
        <f t="shared" si="229"/>
        <v>66.401994072434988</v>
      </c>
      <c r="I409" s="18">
        <f t="shared" si="229"/>
        <v>90.065333473444213</v>
      </c>
      <c r="J409" s="18">
        <f t="shared" si="229"/>
        <v>104.85926739683153</v>
      </c>
      <c r="K409" s="10" t="s">
        <v>131</v>
      </c>
      <c r="L409" s="34" t="s">
        <v>131</v>
      </c>
    </row>
    <row r="410" spans="1:12" s="53" customFormat="1" ht="20.100000000000001" customHeight="1" thickBot="1" x14ac:dyDescent="0.3">
      <c r="A410" s="328"/>
      <c r="B410" s="259" t="s">
        <v>212</v>
      </c>
      <c r="C410" s="36">
        <f>SUM(C405:C408)</f>
        <v>17408.297206539482</v>
      </c>
      <c r="D410" s="36">
        <f t="shared" ref="D410:J410" si="230">SUM(D405:D408)</f>
        <v>10763.529113508182</v>
      </c>
      <c r="E410" s="36">
        <f t="shared" si="230"/>
        <v>2216.9794650962262</v>
      </c>
      <c r="F410" s="36">
        <f t="shared" si="230"/>
        <v>1202.8459751230059</v>
      </c>
      <c r="G410" s="36" t="s">
        <v>131</v>
      </c>
      <c r="H410" s="36">
        <f t="shared" si="230"/>
        <v>1168.5349911721753</v>
      </c>
      <c r="I410" s="36">
        <f t="shared" si="230"/>
        <v>10541.042466592946</v>
      </c>
      <c r="J410" s="36">
        <f t="shared" si="230"/>
        <v>13268.102524105485</v>
      </c>
      <c r="K410" s="36" t="s">
        <v>131</v>
      </c>
      <c r="L410" s="37" t="s">
        <v>131</v>
      </c>
    </row>
    <row r="411" spans="1:12" s="53" customFormat="1" ht="20.100000000000001" hidden="1" customHeight="1" thickBot="1" x14ac:dyDescent="0.3">
      <c r="A411" s="327" t="s">
        <v>979</v>
      </c>
      <c r="B411" s="321" t="s">
        <v>38</v>
      </c>
      <c r="C411" s="9">
        <v>5329.7418210427159</v>
      </c>
      <c r="D411" s="9">
        <v>7047.299149397023</v>
      </c>
      <c r="E411" s="9">
        <v>767.46207006788825</v>
      </c>
      <c r="F411" s="9">
        <v>404.29684548688056</v>
      </c>
      <c r="G411" s="9"/>
      <c r="H411" s="9">
        <v>557.10679779712723</v>
      </c>
      <c r="I411" s="9">
        <v>3658.7705118676258</v>
      </c>
      <c r="J411" s="9">
        <v>3039.1034300697825</v>
      </c>
      <c r="K411" s="9" t="s">
        <v>131</v>
      </c>
      <c r="L411" s="20" t="s">
        <v>131</v>
      </c>
    </row>
    <row r="412" spans="1:12" s="53" customFormat="1" ht="20.100000000000001" customHeight="1" x14ac:dyDescent="0.25">
      <c r="A412" s="327"/>
      <c r="B412" s="322"/>
      <c r="C412" s="10">
        <f>C411/12.79*19.53*1.039</f>
        <v>8455.77499748224</v>
      </c>
      <c r="D412" s="10">
        <f t="shared" ref="D412:J412" si="231">D411/12.79*19.53*1.039</f>
        <v>11180.724685758021</v>
      </c>
      <c r="E412" s="10">
        <f t="shared" si="231"/>
        <v>1217.5986757884648</v>
      </c>
      <c r="F412" s="10">
        <f t="shared" si="231"/>
        <v>641.42753484446985</v>
      </c>
      <c r="G412" s="10" t="s">
        <v>131</v>
      </c>
      <c r="H412" s="10">
        <f t="shared" si="231"/>
        <v>883.86452663456078</v>
      </c>
      <c r="I412" s="10">
        <f t="shared" si="231"/>
        <v>5804.7352488310353</v>
      </c>
      <c r="J412" s="10">
        <f t="shared" si="231"/>
        <v>4821.6171930292494</v>
      </c>
      <c r="K412" s="10" t="s">
        <v>131</v>
      </c>
      <c r="L412" s="26" t="s">
        <v>131</v>
      </c>
    </row>
    <row r="413" spans="1:12" s="53" customFormat="1" ht="20.100000000000001" customHeight="1" x14ac:dyDescent="0.25">
      <c r="A413" s="327"/>
      <c r="B413" s="322"/>
      <c r="C413" s="16">
        <f>C412*0.0214</f>
        <v>180.95358494611992</v>
      </c>
      <c r="D413" s="16">
        <f t="shared" ref="D413:J413" si="232">D412*0.0214</f>
        <v>239.26750827522164</v>
      </c>
      <c r="E413" s="16">
        <f t="shared" si="232"/>
        <v>26.056611661873145</v>
      </c>
      <c r="F413" s="16">
        <f t="shared" si="232"/>
        <v>13.726549245671654</v>
      </c>
      <c r="G413" s="16" t="s">
        <v>131</v>
      </c>
      <c r="H413" s="16">
        <f t="shared" si="232"/>
        <v>18.914700869979601</v>
      </c>
      <c r="I413" s="16">
        <f t="shared" si="232"/>
        <v>124.22133432498414</v>
      </c>
      <c r="J413" s="16">
        <f t="shared" si="232"/>
        <v>103.18260793082594</v>
      </c>
      <c r="K413" s="16" t="s">
        <v>131</v>
      </c>
      <c r="L413" s="15" t="s">
        <v>131</v>
      </c>
    </row>
    <row r="414" spans="1:12" s="53" customFormat="1" ht="20.100000000000001" hidden="1" customHeight="1" x14ac:dyDescent="0.25">
      <c r="A414" s="327"/>
      <c r="B414" s="322"/>
      <c r="C414" s="16">
        <f>6442/737.3</f>
        <v>8.7372846873728474</v>
      </c>
      <c r="D414" s="16">
        <f>4847/369</f>
        <v>13.135501355013551</v>
      </c>
      <c r="E414" s="16">
        <f>2282/737.3</f>
        <v>3.0950766309507665</v>
      </c>
      <c r="F414" s="16">
        <f>3555/2/737.3</f>
        <v>2.4108232741082327</v>
      </c>
      <c r="G414" s="16" t="s">
        <v>131</v>
      </c>
      <c r="H414" s="16">
        <f>F414</f>
        <v>2.4108232741082327</v>
      </c>
      <c r="I414" s="16">
        <f>5207/737.3</f>
        <v>7.0622541706225421</v>
      </c>
      <c r="J414" s="16">
        <f>1357/737.3</f>
        <v>1.8404991184049913</v>
      </c>
      <c r="K414" s="16" t="s">
        <v>131</v>
      </c>
      <c r="L414" s="15" t="s">
        <v>131</v>
      </c>
    </row>
    <row r="415" spans="1:12" s="53" customFormat="1" ht="20.100000000000001" hidden="1" customHeight="1" thickBot="1" x14ac:dyDescent="0.3">
      <c r="A415" s="327"/>
      <c r="B415" s="322"/>
      <c r="C415" s="18">
        <f>(1/737.3)*86669.4*1.2*P4</f>
        <v>174.71611137278975</v>
      </c>
      <c r="D415" s="18">
        <f>(1/737.3)*73669.5*1.2*P4</f>
        <v>148.50972277156339</v>
      </c>
      <c r="E415" s="19">
        <f>(1/737.3)*57779.94*1.2*P4</f>
        <v>116.4780929849879</v>
      </c>
      <c r="F415" s="19">
        <f>(1/737.3)*43334.7*1.2*P4</f>
        <v>87.358055686394877</v>
      </c>
      <c r="G415" s="19" t="s">
        <v>131</v>
      </c>
      <c r="H415" s="19">
        <f>(1/737.3)*43334.7*1.2*P4</f>
        <v>87.358055686394877</v>
      </c>
      <c r="I415" s="19">
        <f>(1/737.3)*57057.78*1.2*P4</f>
        <v>115.02229674099665</v>
      </c>
      <c r="J415" s="19">
        <f>(1/737.3)*70779.84*1.2*P4</f>
        <v>142.68448158621425</v>
      </c>
      <c r="K415" s="19" t="s">
        <v>131</v>
      </c>
      <c r="L415" s="34" t="s">
        <v>131</v>
      </c>
    </row>
    <row r="416" spans="1:12" s="53" customFormat="1" ht="20.100000000000001" customHeight="1" thickBot="1" x14ac:dyDescent="0.3">
      <c r="A416" s="327"/>
      <c r="B416" s="323"/>
      <c r="C416" s="18">
        <f>C415+C414</f>
        <v>183.45339606016259</v>
      </c>
      <c r="D416" s="18">
        <f t="shared" ref="D416:J416" si="233">D415+D414</f>
        <v>161.64522412657695</v>
      </c>
      <c r="E416" s="18">
        <f t="shared" si="233"/>
        <v>119.57316961593867</v>
      </c>
      <c r="F416" s="18">
        <f t="shared" si="233"/>
        <v>89.768878960503116</v>
      </c>
      <c r="G416" s="18" t="s">
        <v>131</v>
      </c>
      <c r="H416" s="18">
        <f t="shared" si="233"/>
        <v>89.768878960503116</v>
      </c>
      <c r="I416" s="18">
        <f t="shared" si="233"/>
        <v>122.08455091161919</v>
      </c>
      <c r="J416" s="18">
        <f t="shared" si="233"/>
        <v>144.52498070461922</v>
      </c>
      <c r="K416" s="19" t="s">
        <v>131</v>
      </c>
      <c r="L416" s="34" t="s">
        <v>131</v>
      </c>
    </row>
    <row r="417" spans="1:12" s="53" customFormat="1" ht="20.100000000000001" customHeight="1" thickBot="1" x14ac:dyDescent="0.3">
      <c r="A417" s="328"/>
      <c r="B417" s="265" t="s">
        <v>212</v>
      </c>
      <c r="C417" s="36">
        <f>SUM(C412:C415)</f>
        <v>8820.1819784885229</v>
      </c>
      <c r="D417" s="36">
        <f t="shared" ref="D417:J417" si="234">SUM(D412:D415)</f>
        <v>11581.637418159818</v>
      </c>
      <c r="E417" s="36">
        <f t="shared" si="234"/>
        <v>1363.2284570662766</v>
      </c>
      <c r="F417" s="36">
        <f t="shared" si="234"/>
        <v>744.92296305064463</v>
      </c>
      <c r="G417" s="36" t="s">
        <v>131</v>
      </c>
      <c r="H417" s="36">
        <f t="shared" si="234"/>
        <v>992.54810646504347</v>
      </c>
      <c r="I417" s="36">
        <f t="shared" si="234"/>
        <v>6051.0411340676383</v>
      </c>
      <c r="J417" s="36">
        <f t="shared" si="234"/>
        <v>5069.3247816646945</v>
      </c>
      <c r="K417" s="75" t="s">
        <v>131</v>
      </c>
      <c r="L417" s="37" t="s">
        <v>131</v>
      </c>
    </row>
    <row r="418" spans="1:12" s="53" customFormat="1" ht="20.100000000000001" hidden="1" customHeight="1" thickBot="1" x14ac:dyDescent="0.3">
      <c r="A418" s="327" t="s">
        <v>980</v>
      </c>
      <c r="B418" s="321" t="s">
        <v>163</v>
      </c>
      <c r="C418" s="9">
        <v>6297.586977238806</v>
      </c>
      <c r="D418" s="9">
        <v>5699.2849006289316</v>
      </c>
      <c r="E418" s="9">
        <v>911.65573246268661</v>
      </c>
      <c r="F418" s="9">
        <v>548.57334104477616</v>
      </c>
      <c r="G418" s="9">
        <v>1423.3054160447762</v>
      </c>
      <c r="H418" s="9">
        <v>447.46225373134325</v>
      </c>
      <c r="I418" s="9">
        <v>2874.1850701492531</v>
      </c>
      <c r="J418" s="9">
        <v>3883.9203231343286</v>
      </c>
      <c r="K418" s="24" t="s">
        <v>131</v>
      </c>
      <c r="L418" s="20" t="s">
        <v>131</v>
      </c>
    </row>
    <row r="419" spans="1:12" s="53" customFormat="1" ht="20.100000000000001" customHeight="1" x14ac:dyDescent="0.25">
      <c r="A419" s="327"/>
      <c r="B419" s="322"/>
      <c r="C419" s="10">
        <f>C418/12.79*19.53*1.039</f>
        <v>9991.2866879145713</v>
      </c>
      <c r="D419" s="10">
        <f t="shared" ref="D419:J419" si="235">D418/12.79*19.53*1.039</f>
        <v>9042.0647724429309</v>
      </c>
      <c r="E419" s="10">
        <f t="shared" si="235"/>
        <v>1446.3656979469215</v>
      </c>
      <c r="F419" s="10">
        <f t="shared" si="235"/>
        <v>870.32597398577434</v>
      </c>
      <c r="G419" s="10">
        <f t="shared" si="235"/>
        <v>2258.1113222512354</v>
      </c>
      <c r="H419" s="10">
        <f t="shared" si="235"/>
        <v>709.91058562726244</v>
      </c>
      <c r="I419" s="10">
        <f t="shared" si="235"/>
        <v>4559.969895417943</v>
      </c>
      <c r="J419" s="10">
        <f t="shared" si="235"/>
        <v>6161.9413216055646</v>
      </c>
      <c r="K419" s="22" t="s">
        <v>131</v>
      </c>
      <c r="L419" s="26" t="s">
        <v>131</v>
      </c>
    </row>
    <row r="420" spans="1:12" s="53" customFormat="1" ht="20.100000000000001" customHeight="1" x14ac:dyDescent="0.25">
      <c r="A420" s="327"/>
      <c r="B420" s="322"/>
      <c r="C420" s="16">
        <f>C419*0.0214</f>
        <v>213.81353512137181</v>
      </c>
      <c r="D420" s="16">
        <f t="shared" ref="D420:J420" si="236">D419*0.0214</f>
        <v>193.50018613027871</v>
      </c>
      <c r="E420" s="16">
        <f t="shared" si="236"/>
        <v>30.952225936064117</v>
      </c>
      <c r="F420" s="16">
        <f t="shared" si="236"/>
        <v>18.624975843295569</v>
      </c>
      <c r="G420" s="16">
        <f t="shared" si="236"/>
        <v>48.323582296176433</v>
      </c>
      <c r="H420" s="16">
        <f t="shared" si="236"/>
        <v>15.192086532423415</v>
      </c>
      <c r="I420" s="16">
        <f t="shared" si="236"/>
        <v>97.583355761943977</v>
      </c>
      <c r="J420" s="16">
        <f t="shared" si="236"/>
        <v>131.86554428235908</v>
      </c>
      <c r="K420" s="16" t="s">
        <v>131</v>
      </c>
      <c r="L420" s="15" t="s">
        <v>131</v>
      </c>
    </row>
    <row r="421" spans="1:12" s="53" customFormat="1" ht="20.100000000000001" hidden="1" customHeight="1" x14ac:dyDescent="0.25">
      <c r="A421" s="327"/>
      <c r="B421" s="322"/>
      <c r="C421" s="16">
        <f>14597/1884.7</f>
        <v>7.7449992041173656</v>
      </c>
      <c r="D421" s="16">
        <f>10888/691</f>
        <v>15.756874095513748</v>
      </c>
      <c r="E421" s="16">
        <f>5392/1884.7</f>
        <v>2.8609327744468613</v>
      </c>
      <c r="F421" s="16">
        <f>12017/2/1884.7</f>
        <v>3.1880405369554836</v>
      </c>
      <c r="G421" s="16">
        <f>8639/1884.7</f>
        <v>4.583753382501194</v>
      </c>
      <c r="H421" s="16">
        <f>F421</f>
        <v>3.1880405369554836</v>
      </c>
      <c r="I421" s="16">
        <f>21307/1884.7</f>
        <v>11.305247519499124</v>
      </c>
      <c r="J421" s="16">
        <f>2773/1884.7</f>
        <v>1.4713216957605986</v>
      </c>
      <c r="K421" s="16" t="s">
        <v>131</v>
      </c>
      <c r="L421" s="15" t="s">
        <v>131</v>
      </c>
    </row>
    <row r="422" spans="1:12" s="53" customFormat="1" ht="20.100000000000001" hidden="1" customHeight="1" thickBot="1" x14ac:dyDescent="0.3">
      <c r="A422" s="327"/>
      <c r="B422" s="322"/>
      <c r="C422" s="18">
        <f>(1/1628.1)*138458.88*1.2*P4</f>
        <v>126.40118253364754</v>
      </c>
      <c r="D422" s="18">
        <f>(1/691)*48460.2*1.2*P4</f>
        <v>104.23619599390659</v>
      </c>
      <c r="E422" s="18">
        <f>(1/1628.1)*92305.92*1.2*P4</f>
        <v>84.26745502243169</v>
      </c>
      <c r="F422" s="19">
        <f>(1/1628.1)*69229.44*1.2*P4</f>
        <v>63.200591266823771</v>
      </c>
      <c r="G422" s="19">
        <f>(1/1628.1)*69229.44*1.2*P4</f>
        <v>63.200591266823771</v>
      </c>
      <c r="H422" s="19">
        <f>(1/1628.1)*69229.44*1.2*P4</f>
        <v>63.200591266823771</v>
      </c>
      <c r="I422" s="19">
        <f>(1/1628.1)*91152.3*1.2*P4</f>
        <v>83.2142980693026</v>
      </c>
      <c r="J422" s="19">
        <f>(1/1628.1)*113075.16*1.2*P4</f>
        <v>103.22800487178142</v>
      </c>
      <c r="K422" s="19" t="s">
        <v>131</v>
      </c>
      <c r="L422" s="20" t="s">
        <v>131</v>
      </c>
    </row>
    <row r="423" spans="1:12" s="53" customFormat="1" ht="20.100000000000001" customHeight="1" thickBot="1" x14ac:dyDescent="0.3">
      <c r="A423" s="327"/>
      <c r="B423" s="323"/>
      <c r="C423" s="18">
        <f>C422+C421</f>
        <v>134.14618173776492</v>
      </c>
      <c r="D423" s="18">
        <f t="shared" ref="D423:J423" si="237">D422+D421</f>
        <v>119.99307008942034</v>
      </c>
      <c r="E423" s="18">
        <f t="shared" si="237"/>
        <v>87.128387796878556</v>
      </c>
      <c r="F423" s="18">
        <f t="shared" si="237"/>
        <v>66.388631803779248</v>
      </c>
      <c r="G423" s="18">
        <f t="shared" si="237"/>
        <v>67.784344649324964</v>
      </c>
      <c r="H423" s="18">
        <f t="shared" si="237"/>
        <v>66.388631803779248</v>
      </c>
      <c r="I423" s="18">
        <f t="shared" si="237"/>
        <v>94.519545588801719</v>
      </c>
      <c r="J423" s="18">
        <f t="shared" si="237"/>
        <v>104.69932656754202</v>
      </c>
      <c r="K423" s="19" t="s">
        <v>131</v>
      </c>
      <c r="L423" s="34" t="s">
        <v>131</v>
      </c>
    </row>
    <row r="424" spans="1:12" s="53" customFormat="1" ht="20.100000000000001" customHeight="1" thickBot="1" x14ac:dyDescent="0.3">
      <c r="A424" s="328"/>
      <c r="B424" s="265" t="s">
        <v>212</v>
      </c>
      <c r="C424" s="36">
        <f>SUM(C419:C422)</f>
        <v>10339.246404773707</v>
      </c>
      <c r="D424" s="36">
        <f t="shared" ref="D424:J424" si="238">SUM(D419:D422)</f>
        <v>9355.55802866263</v>
      </c>
      <c r="E424" s="36">
        <f t="shared" si="238"/>
        <v>1564.4463116798643</v>
      </c>
      <c r="F424" s="36">
        <f t="shared" si="238"/>
        <v>955.3395816328491</v>
      </c>
      <c r="G424" s="36">
        <f t="shared" si="238"/>
        <v>2374.2192491967367</v>
      </c>
      <c r="H424" s="36">
        <f t="shared" si="238"/>
        <v>791.49130396346504</v>
      </c>
      <c r="I424" s="36">
        <f t="shared" si="238"/>
        <v>4752.0727967686889</v>
      </c>
      <c r="J424" s="36">
        <f t="shared" si="238"/>
        <v>6398.5061924554657</v>
      </c>
      <c r="K424" s="75" t="s">
        <v>131</v>
      </c>
      <c r="L424" s="34" t="s">
        <v>131</v>
      </c>
    </row>
    <row r="425" spans="1:12" s="53" customFormat="1" ht="21.95" customHeight="1" thickBot="1" x14ac:dyDescent="0.3">
      <c r="A425" s="361" t="s">
        <v>981</v>
      </c>
      <c r="B425" s="362"/>
      <c r="C425" s="362"/>
      <c r="D425" s="362"/>
      <c r="E425" s="362"/>
      <c r="F425" s="362"/>
      <c r="G425" s="362"/>
      <c r="H425" s="362"/>
      <c r="I425" s="362"/>
      <c r="J425" s="362"/>
      <c r="K425" s="362"/>
      <c r="L425" s="363"/>
    </row>
    <row r="426" spans="1:12" s="53" customFormat="1" ht="20.100000000000001" hidden="1" customHeight="1" thickBot="1" x14ac:dyDescent="0.3">
      <c r="A426" s="327" t="s">
        <v>982</v>
      </c>
      <c r="B426" s="321" t="s">
        <v>39</v>
      </c>
      <c r="C426" s="9">
        <v>5376.6662338011365</v>
      </c>
      <c r="D426" s="9">
        <v>8323.1615904258288</v>
      </c>
      <c r="E426" s="9">
        <v>811.97071968327782</v>
      </c>
      <c r="F426" s="9">
        <v>517.21696723392427</v>
      </c>
      <c r="G426" s="9">
        <v>1313.9566573492466</v>
      </c>
      <c r="H426" s="9">
        <v>558.63677305273029</v>
      </c>
      <c r="I426" s="9">
        <v>3145.6700822864323</v>
      </c>
      <c r="J426" s="9">
        <v>2756.628602972954</v>
      </c>
      <c r="K426" s="76" t="s">
        <v>131</v>
      </c>
      <c r="L426" s="77" t="s">
        <v>131</v>
      </c>
    </row>
    <row r="427" spans="1:12" s="53" customFormat="1" ht="20.100000000000001" customHeight="1" x14ac:dyDescent="0.25">
      <c r="A427" s="327"/>
      <c r="B427" s="322"/>
      <c r="C427" s="10">
        <f t="shared" ref="C427:J427" si="239">C426/13.19*19.53*1.039</f>
        <v>8271.5342620496976</v>
      </c>
      <c r="D427" s="10">
        <f t="shared" si="239"/>
        <v>12804.461588293865</v>
      </c>
      <c r="E427" s="10">
        <f t="shared" si="239"/>
        <v>1249.1464665258211</v>
      </c>
      <c r="F427" s="10">
        <f t="shared" si="239"/>
        <v>795.6934054216531</v>
      </c>
      <c r="G427" s="10">
        <f t="shared" si="239"/>
        <v>2021.4082551352531</v>
      </c>
      <c r="H427" s="10">
        <f t="shared" si="239"/>
        <v>859.41418109559493</v>
      </c>
      <c r="I427" s="10">
        <f t="shared" si="239"/>
        <v>4839.3403516777198</v>
      </c>
      <c r="J427" s="10">
        <f t="shared" si="239"/>
        <v>4240.8338077398184</v>
      </c>
      <c r="K427" s="10" t="s">
        <v>131</v>
      </c>
      <c r="L427" s="26" t="s">
        <v>131</v>
      </c>
    </row>
    <row r="428" spans="1:12" s="53" customFormat="1" ht="20.100000000000001" customHeight="1" x14ac:dyDescent="0.25">
      <c r="A428" s="327"/>
      <c r="B428" s="322"/>
      <c r="C428" s="16">
        <f>C427*0.0214</f>
        <v>177.01083320786353</v>
      </c>
      <c r="D428" s="16">
        <f t="shared" ref="D428:J428" si="240">D427*0.0214</f>
        <v>274.01547798948872</v>
      </c>
      <c r="E428" s="16">
        <f t="shared" si="240"/>
        <v>26.731734383652569</v>
      </c>
      <c r="F428" s="16">
        <f t="shared" si="240"/>
        <v>17.027838876023374</v>
      </c>
      <c r="G428" s="16">
        <f t="shared" si="240"/>
        <v>43.258136659894411</v>
      </c>
      <c r="H428" s="16">
        <f t="shared" si="240"/>
        <v>18.391463475445729</v>
      </c>
      <c r="I428" s="16">
        <f t="shared" si="240"/>
        <v>103.5618835259032</v>
      </c>
      <c r="J428" s="16">
        <f t="shared" si="240"/>
        <v>90.753843485632103</v>
      </c>
      <c r="K428" s="16" t="s">
        <v>131</v>
      </c>
      <c r="L428" s="15" t="s">
        <v>131</v>
      </c>
    </row>
    <row r="429" spans="1:12" s="53" customFormat="1" ht="20.100000000000001" hidden="1" customHeight="1" x14ac:dyDescent="0.25">
      <c r="A429" s="327"/>
      <c r="B429" s="322"/>
      <c r="C429" s="16">
        <f>5590/636.8</f>
        <v>8.7782663316582923</v>
      </c>
      <c r="D429" s="16">
        <f>4217/350</f>
        <v>12.048571428571428</v>
      </c>
      <c r="E429" s="16">
        <f>2006/636.8</f>
        <v>3.150125628140704</v>
      </c>
      <c r="F429" s="16">
        <f>3104/2/636.8</f>
        <v>2.4371859296482414</v>
      </c>
      <c r="G429" s="16">
        <f>2819/636.8</f>
        <v>4.4268216080402016</v>
      </c>
      <c r="H429" s="16">
        <f>F429</f>
        <v>2.4371859296482414</v>
      </c>
      <c r="I429" s="16">
        <f>4531/636.8</f>
        <v>7.1152638190954782</v>
      </c>
      <c r="J429" s="35">
        <f>1206/636.8</f>
        <v>1.8938442211055277</v>
      </c>
      <c r="K429" s="16" t="s">
        <v>131</v>
      </c>
      <c r="L429" s="15" t="s">
        <v>131</v>
      </c>
    </row>
    <row r="430" spans="1:12" s="53" customFormat="1" ht="20.100000000000001" hidden="1" customHeight="1" thickBot="1" x14ac:dyDescent="0.3">
      <c r="A430" s="327"/>
      <c r="B430" s="322"/>
      <c r="C430" s="18">
        <f>(1/636.8)*85042.5*1.2*P4</f>
        <v>198.4926194169862</v>
      </c>
      <c r="D430" s="18">
        <f>85.69*P4</f>
        <v>106.13540849999998</v>
      </c>
      <c r="E430" s="18">
        <f>(1/636.8)*56694.66*1.2*P4</f>
        <v>132.32761937096666</v>
      </c>
      <c r="F430" s="18">
        <f>(1/636.8)*42520.74*1.2*P4</f>
        <v>99.245119347956887</v>
      </c>
      <c r="G430" s="19">
        <f>(1/636.8)*42520.74*1.2*P4</f>
        <v>99.245119347956887</v>
      </c>
      <c r="H430" s="19">
        <f>(1/636.8)*42520.74*1.2*P4</f>
        <v>99.245119347956887</v>
      </c>
      <c r="I430" s="19">
        <f>(1/636.8)*55985.76*1.2*P4</f>
        <v>130.67301822560168</v>
      </c>
      <c r="J430" s="19">
        <f>(1/636.8)*69450.78*1.2*P4</f>
        <v>162.10091710324647</v>
      </c>
      <c r="K430" s="19" t="s">
        <v>131</v>
      </c>
      <c r="L430" s="34" t="s">
        <v>131</v>
      </c>
    </row>
    <row r="431" spans="1:12" s="53" customFormat="1" ht="20.100000000000001" customHeight="1" thickBot="1" x14ac:dyDescent="0.3">
      <c r="A431" s="327"/>
      <c r="B431" s="323"/>
      <c r="C431" s="18">
        <f>C430+C429</f>
        <v>207.2708857486445</v>
      </c>
      <c r="D431" s="18">
        <f t="shared" ref="D431:J431" si="241">D430+D429</f>
        <v>118.1839799285714</v>
      </c>
      <c r="E431" s="18">
        <f t="shared" si="241"/>
        <v>135.47774499910736</v>
      </c>
      <c r="F431" s="18">
        <f t="shared" si="241"/>
        <v>101.68230527760512</v>
      </c>
      <c r="G431" s="18">
        <f t="shared" si="241"/>
        <v>103.67194095599709</v>
      </c>
      <c r="H431" s="18">
        <f t="shared" si="241"/>
        <v>101.68230527760512</v>
      </c>
      <c r="I431" s="18">
        <f t="shared" si="241"/>
        <v>137.78828204469716</v>
      </c>
      <c r="J431" s="18">
        <f t="shared" si="241"/>
        <v>163.994761324352</v>
      </c>
      <c r="K431" s="19" t="s">
        <v>131</v>
      </c>
      <c r="L431" s="34" t="s">
        <v>131</v>
      </c>
    </row>
    <row r="432" spans="1:12" s="53" customFormat="1" ht="20.100000000000001" customHeight="1" thickBot="1" x14ac:dyDescent="0.3">
      <c r="A432" s="328"/>
      <c r="B432" s="265" t="s">
        <v>212</v>
      </c>
      <c r="C432" s="36">
        <f>SUM(C427:C430)</f>
        <v>8655.8159810062043</v>
      </c>
      <c r="D432" s="36">
        <f t="shared" ref="D432:J432" si="242">SUM(D427:D430)</f>
        <v>13196.661046211926</v>
      </c>
      <c r="E432" s="36">
        <f t="shared" si="242"/>
        <v>1411.3559459085811</v>
      </c>
      <c r="F432" s="36">
        <f t="shared" si="242"/>
        <v>914.40354957528155</v>
      </c>
      <c r="G432" s="36">
        <f t="shared" si="242"/>
        <v>2168.3383327511447</v>
      </c>
      <c r="H432" s="36">
        <f t="shared" si="242"/>
        <v>979.48794984864571</v>
      </c>
      <c r="I432" s="36">
        <f t="shared" si="242"/>
        <v>5080.6905172483193</v>
      </c>
      <c r="J432" s="36">
        <f t="shared" si="242"/>
        <v>4495.5824125498029</v>
      </c>
      <c r="K432" s="75" t="s">
        <v>131</v>
      </c>
      <c r="L432" s="37" t="s">
        <v>131</v>
      </c>
    </row>
    <row r="433" spans="1:12" s="53" customFormat="1" ht="20.100000000000001" hidden="1" customHeight="1" thickBot="1" x14ac:dyDescent="0.3">
      <c r="A433" s="327" t="s">
        <v>983</v>
      </c>
      <c r="B433" s="321" t="s">
        <v>60</v>
      </c>
      <c r="C433" s="9">
        <v>5331.4560225546002</v>
      </c>
      <c r="D433" s="9">
        <v>6745.3999200000007</v>
      </c>
      <c r="E433" s="9">
        <v>805.14318638167435</v>
      </c>
      <c r="F433" s="9">
        <v>512.86789899495943</v>
      </c>
      <c r="G433" s="9">
        <v>1302.9081273746497</v>
      </c>
      <c r="H433" s="9">
        <v>553.94142366860569</v>
      </c>
      <c r="I433" s="9">
        <v>3119.215412644036</v>
      </c>
      <c r="J433" s="9">
        <v>2733.4492282360275</v>
      </c>
      <c r="K433" s="9" t="s">
        <v>131</v>
      </c>
      <c r="L433" s="20" t="s">
        <v>131</v>
      </c>
    </row>
    <row r="434" spans="1:12" s="53" customFormat="1" ht="20.100000000000001" customHeight="1" x14ac:dyDescent="0.25">
      <c r="A434" s="327"/>
      <c r="B434" s="322"/>
      <c r="C434" s="10">
        <f>C433/13.19*19.53*1.039</f>
        <v>8201.9822766634188</v>
      </c>
      <c r="D434" s="10">
        <f t="shared" ref="D434:J434" si="243">D433/13.19*19.53*1.039</f>
        <v>10377.212220975469</v>
      </c>
      <c r="E434" s="10">
        <f t="shared" si="243"/>
        <v>1238.6428992270985</v>
      </c>
      <c r="F434" s="10">
        <f t="shared" si="243"/>
        <v>789.00274147073901</v>
      </c>
      <c r="G434" s="10">
        <f t="shared" si="243"/>
        <v>2004.4110508722031</v>
      </c>
      <c r="H434" s="10">
        <f t="shared" si="243"/>
        <v>852.19079366289145</v>
      </c>
      <c r="I434" s="10">
        <f t="shared" si="243"/>
        <v>4798.64213891483</v>
      </c>
      <c r="J434" s="10">
        <f t="shared" si="243"/>
        <v>4205.1743518665771</v>
      </c>
      <c r="K434" s="10" t="s">
        <v>131</v>
      </c>
      <c r="L434" s="26" t="s">
        <v>131</v>
      </c>
    </row>
    <row r="435" spans="1:12" s="53" customFormat="1" ht="20.100000000000001" customHeight="1" x14ac:dyDescent="0.25">
      <c r="A435" s="327"/>
      <c r="B435" s="322"/>
      <c r="C435" s="16">
        <f>C434*0.0214</f>
        <v>175.52242072059715</v>
      </c>
      <c r="D435" s="16">
        <f t="shared" ref="D435:J435" si="244">D434*0.0214</f>
        <v>222.07234152887503</v>
      </c>
      <c r="E435" s="16">
        <f t="shared" si="244"/>
        <v>26.506958043459907</v>
      </c>
      <c r="F435" s="16">
        <f t="shared" si="244"/>
        <v>16.884658667473815</v>
      </c>
      <c r="G435" s="16">
        <f t="shared" si="244"/>
        <v>42.894396488665144</v>
      </c>
      <c r="H435" s="16">
        <f t="shared" si="244"/>
        <v>18.236882984385876</v>
      </c>
      <c r="I435" s="16">
        <f t="shared" si="244"/>
        <v>102.69094177277735</v>
      </c>
      <c r="J435" s="16">
        <f t="shared" si="244"/>
        <v>89.990731129944749</v>
      </c>
      <c r="K435" s="16" t="s">
        <v>131</v>
      </c>
      <c r="L435" s="15" t="s">
        <v>131</v>
      </c>
    </row>
    <row r="436" spans="1:12" s="53" customFormat="1" ht="20.100000000000001" hidden="1" customHeight="1" x14ac:dyDescent="0.25">
      <c r="A436" s="327"/>
      <c r="B436" s="322"/>
      <c r="C436" s="16">
        <f>5641/642.2</f>
        <v>8.7838679539084392</v>
      </c>
      <c r="D436" s="16">
        <f>4253/321.1</f>
        <v>13.245094985985673</v>
      </c>
      <c r="E436" s="16">
        <f>2020/642.2</f>
        <v>3.1454375583930236</v>
      </c>
      <c r="F436" s="16">
        <f>3127/2/642.2</f>
        <v>2.4345998131423232</v>
      </c>
      <c r="G436" s="16">
        <f>2839/642.2</f>
        <v>4.4207412021177204</v>
      </c>
      <c r="H436" s="16">
        <f>F436</f>
        <v>2.4345998131423232</v>
      </c>
      <c r="I436" s="16">
        <f>4566/642.2</f>
        <v>7.1099345998131422</v>
      </c>
      <c r="J436" s="16">
        <f>1214/642.2</f>
        <v>1.8903768296480845</v>
      </c>
      <c r="K436" s="16" t="s">
        <v>131</v>
      </c>
      <c r="L436" s="15" t="s">
        <v>131</v>
      </c>
    </row>
    <row r="437" spans="1:12" s="53" customFormat="1" ht="20.100000000000001" hidden="1" customHeight="1" thickBot="1" x14ac:dyDescent="0.3">
      <c r="A437" s="327"/>
      <c r="B437" s="322"/>
      <c r="C437" s="18">
        <f>(1/642.2)*85129.2*1.2*P4</f>
        <v>197.0242349968037</v>
      </c>
      <c r="D437" s="18">
        <f>(1/321.1)*29795.22*1.2*P4</f>
        <v>137.91696449776259</v>
      </c>
      <c r="E437" s="18">
        <f>(1/642.2)*56752.8*1.2*P4</f>
        <v>131.34948999786914</v>
      </c>
      <c r="F437" s="19">
        <f>(1/642.2)*42564.6*1.2*P4</f>
        <v>98.51211749840185</v>
      </c>
      <c r="G437" s="19">
        <f>(1/642.2)*42564.6*1.2*P4</f>
        <v>98.51211749840185</v>
      </c>
      <c r="H437" s="19">
        <f>(1/642.2)*42564.6*1.2*P4</f>
        <v>98.51211749840185</v>
      </c>
      <c r="I437" s="19">
        <f>(1/642.2)*56043.9*1.2*P4</f>
        <v>129.70880172417182</v>
      </c>
      <c r="J437" s="19">
        <f>(1/642.2)*69522.18*1.2*P4</f>
        <v>160.90312524738968</v>
      </c>
      <c r="K437" s="18" t="s">
        <v>131</v>
      </c>
      <c r="L437" s="34" t="s">
        <v>131</v>
      </c>
    </row>
    <row r="438" spans="1:12" s="53" customFormat="1" ht="20.100000000000001" customHeight="1" thickBot="1" x14ac:dyDescent="0.3">
      <c r="A438" s="327"/>
      <c r="B438" s="323"/>
      <c r="C438" s="18">
        <f>C437+C436</f>
        <v>205.80810295071214</v>
      </c>
      <c r="D438" s="18">
        <f t="shared" ref="D438:J438" si="245">D437+D436</f>
        <v>151.16205948374827</v>
      </c>
      <c r="E438" s="18">
        <f t="shared" si="245"/>
        <v>134.49492755626216</v>
      </c>
      <c r="F438" s="18">
        <f t="shared" si="245"/>
        <v>100.94671731154418</v>
      </c>
      <c r="G438" s="18">
        <f t="shared" si="245"/>
        <v>102.93285870051957</v>
      </c>
      <c r="H438" s="18">
        <f t="shared" si="245"/>
        <v>100.94671731154418</v>
      </c>
      <c r="I438" s="18">
        <f t="shared" si="245"/>
        <v>136.81873632398495</v>
      </c>
      <c r="J438" s="18">
        <f t="shared" si="245"/>
        <v>162.79350207703777</v>
      </c>
      <c r="K438" s="18" t="s">
        <v>131</v>
      </c>
      <c r="L438" s="34" t="s">
        <v>131</v>
      </c>
    </row>
    <row r="439" spans="1:12" s="53" customFormat="1" ht="20.100000000000001" customHeight="1" thickBot="1" x14ac:dyDescent="0.3">
      <c r="A439" s="328"/>
      <c r="B439" s="265" t="s">
        <v>212</v>
      </c>
      <c r="C439" s="36">
        <f>SUM(C434:C437)</f>
        <v>8583.3128003347283</v>
      </c>
      <c r="D439" s="36">
        <f t="shared" ref="D439:J439" si="246">SUM(D434:D437)</f>
        <v>10750.446621988092</v>
      </c>
      <c r="E439" s="36">
        <f t="shared" si="246"/>
        <v>1399.6447848268206</v>
      </c>
      <c r="F439" s="36">
        <f t="shared" si="246"/>
        <v>906.83411744975695</v>
      </c>
      <c r="G439" s="36">
        <f t="shared" si="246"/>
        <v>2150.2383060613879</v>
      </c>
      <c r="H439" s="36">
        <f t="shared" si="246"/>
        <v>971.37439395882143</v>
      </c>
      <c r="I439" s="36">
        <f t="shared" si="246"/>
        <v>5038.1518170115924</v>
      </c>
      <c r="J439" s="36">
        <f t="shared" si="246"/>
        <v>4457.9585850735593</v>
      </c>
      <c r="K439" s="36" t="s">
        <v>131</v>
      </c>
      <c r="L439" s="37" t="s">
        <v>131</v>
      </c>
    </row>
    <row r="440" spans="1:12" s="53" customFormat="1" ht="20.100000000000001" hidden="1" customHeight="1" thickBot="1" x14ac:dyDescent="0.3">
      <c r="A440" s="327" t="s">
        <v>984</v>
      </c>
      <c r="B440" s="321" t="s">
        <v>61</v>
      </c>
      <c r="C440" s="9">
        <v>3575.1320427296805</v>
      </c>
      <c r="D440" s="9">
        <v>7304.0851800000009</v>
      </c>
      <c r="E440" s="9">
        <v>597.09894533186593</v>
      </c>
      <c r="F440" s="9">
        <v>341.93313163859978</v>
      </c>
      <c r="G440" s="9">
        <v>783.85098317647066</v>
      </c>
      <c r="H440" s="9">
        <v>262.24790904237699</v>
      </c>
      <c r="I440" s="9">
        <v>1774.9234267058825</v>
      </c>
      <c r="J440" s="9">
        <v>2266.6161307448338</v>
      </c>
      <c r="K440" s="9">
        <v>518.89820535796025</v>
      </c>
      <c r="L440" s="20" t="s">
        <v>131</v>
      </c>
    </row>
    <row r="441" spans="1:12" s="53" customFormat="1" ht="20.100000000000001" customHeight="1" x14ac:dyDescent="0.25">
      <c r="A441" s="327"/>
      <c r="B441" s="322"/>
      <c r="C441" s="10">
        <f>C440/13.19*19.53*1.039</f>
        <v>5500.0302970050479</v>
      </c>
      <c r="D441" s="10">
        <f t="shared" ref="D441:K441" si="247">D440/13.19*19.53*1.039</f>
        <v>11236.700995030373</v>
      </c>
      <c r="E441" s="10">
        <f t="shared" si="247"/>
        <v>918.58489431556222</v>
      </c>
      <c r="F441" s="10">
        <f t="shared" si="247"/>
        <v>526.03444043040372</v>
      </c>
      <c r="G441" s="10">
        <f t="shared" si="247"/>
        <v>1205.886692933472</v>
      </c>
      <c r="H441" s="10">
        <f t="shared" si="247"/>
        <v>403.44564279590071</v>
      </c>
      <c r="I441" s="10">
        <f t="shared" si="247"/>
        <v>2730.5656141004515</v>
      </c>
      <c r="J441" s="10">
        <f t="shared" si="247"/>
        <v>3486.9921563116773</v>
      </c>
      <c r="K441" s="10">
        <f t="shared" si="247"/>
        <v>798.27984433024733</v>
      </c>
      <c r="L441" s="26" t="s">
        <v>131</v>
      </c>
    </row>
    <row r="442" spans="1:12" s="53" customFormat="1" ht="20.100000000000001" customHeight="1" x14ac:dyDescent="0.25">
      <c r="A442" s="327"/>
      <c r="B442" s="322"/>
      <c r="C442" s="16">
        <f>C441*0.0214</f>
        <v>117.70064835590802</v>
      </c>
      <c r="D442" s="16">
        <f t="shared" ref="D442:K442" si="248">D441*0.0214</f>
        <v>240.46540129364996</v>
      </c>
      <c r="E442" s="16">
        <f t="shared" si="248"/>
        <v>19.657716738353031</v>
      </c>
      <c r="F442" s="16">
        <f t="shared" si="248"/>
        <v>11.257137025210639</v>
      </c>
      <c r="G442" s="16">
        <f t="shared" si="248"/>
        <v>25.805975228776298</v>
      </c>
      <c r="H442" s="16">
        <f t="shared" si="248"/>
        <v>8.633736755832274</v>
      </c>
      <c r="I442" s="16">
        <f t="shared" si="248"/>
        <v>58.434104141749657</v>
      </c>
      <c r="J442" s="16">
        <f t="shared" si="248"/>
        <v>74.621632145069896</v>
      </c>
      <c r="K442" s="16">
        <f t="shared" si="248"/>
        <v>17.08318866866729</v>
      </c>
      <c r="L442" s="15" t="s">
        <v>131</v>
      </c>
    </row>
    <row r="443" spans="1:12" s="53" customFormat="1" ht="20.100000000000001" hidden="1" customHeight="1" x14ac:dyDescent="0.25">
      <c r="A443" s="327"/>
      <c r="B443" s="322"/>
      <c r="C443" s="35">
        <f>7575/1700</f>
        <v>4.4558823529411766</v>
      </c>
      <c r="D443" s="35">
        <f>5674/567</f>
        <v>10.00705467372134</v>
      </c>
      <c r="E443" s="35">
        <f>5158/1700</f>
        <v>3.0341176470588236</v>
      </c>
      <c r="F443" s="35">
        <f>10859/2/1700</f>
        <v>3.1938235294117647</v>
      </c>
      <c r="G443" s="35">
        <f>7812/1700</f>
        <v>4.5952941176470592</v>
      </c>
      <c r="H443" s="35">
        <f>F443</f>
        <v>3.1938235294117647</v>
      </c>
      <c r="I443" s="35">
        <f>19239/1700</f>
        <v>11.317058823529411</v>
      </c>
      <c r="J443" s="35">
        <f>1514/1700</f>
        <v>0.89058823529411768</v>
      </c>
      <c r="K443" s="35">
        <f>J443</f>
        <v>0.89058823529411768</v>
      </c>
      <c r="L443" s="26" t="s">
        <v>131</v>
      </c>
    </row>
    <row r="444" spans="1:12" s="53" customFormat="1" ht="20.100000000000001" hidden="1" customHeight="1" thickBot="1" x14ac:dyDescent="0.3">
      <c r="A444" s="327"/>
      <c r="B444" s="322"/>
      <c r="C444" s="68">
        <f>(1/1700)*139622.7*1.2*P4</f>
        <v>122.07268855894735</v>
      </c>
      <c r="D444" s="17">
        <f>(1/567)*48868.2*1.2*P4</f>
        <v>128.101637924812</v>
      </c>
      <c r="E444" s="18">
        <f>(1/1700)*93082.14*1.2*P4</f>
        <v>81.382089635999989</v>
      </c>
      <c r="F444" s="19">
        <f>(1/1700)*69811.86*1.2*P4</f>
        <v>61.036790174526296</v>
      </c>
      <c r="G444" s="19">
        <f>(1/1700)*69811.86*1.2*P4</f>
        <v>61.036790174526296</v>
      </c>
      <c r="H444" s="19">
        <f>(1/1700)*69811.86*1.2*P4</f>
        <v>61.036790174526296</v>
      </c>
      <c r="I444" s="19">
        <f>(1/1700)*91918.32*1.2*P4</f>
        <v>80.364557125894734</v>
      </c>
      <c r="J444" s="19">
        <f>(1/1700)*114025.8*1.2*P4</f>
        <v>99.693215867368409</v>
      </c>
      <c r="K444" s="18">
        <f>(1/1700)*48868.2*1.2*P4</f>
        <v>42.725663943157876</v>
      </c>
      <c r="L444" s="70" t="s">
        <v>131</v>
      </c>
    </row>
    <row r="445" spans="1:12" s="53" customFormat="1" ht="20.100000000000001" customHeight="1" thickBot="1" x14ac:dyDescent="0.3">
      <c r="A445" s="327"/>
      <c r="B445" s="323"/>
      <c r="C445" s="19">
        <f>C444+C443</f>
        <v>126.52857091188852</v>
      </c>
      <c r="D445" s="19">
        <f t="shared" ref="D445:K445" si="249">D444+D443</f>
        <v>138.10869259853334</v>
      </c>
      <c r="E445" s="19">
        <f t="shared" si="249"/>
        <v>84.41620728305881</v>
      </c>
      <c r="F445" s="19">
        <f t="shared" si="249"/>
        <v>64.230613703938062</v>
      </c>
      <c r="G445" s="19">
        <f t="shared" si="249"/>
        <v>65.63208429217336</v>
      </c>
      <c r="H445" s="19">
        <f t="shared" si="249"/>
        <v>64.230613703938062</v>
      </c>
      <c r="I445" s="19">
        <f t="shared" si="249"/>
        <v>91.681615949424142</v>
      </c>
      <c r="J445" s="19">
        <f t="shared" si="249"/>
        <v>100.58380410266253</v>
      </c>
      <c r="K445" s="19">
        <f t="shared" si="249"/>
        <v>43.616252178451994</v>
      </c>
      <c r="L445" s="34" t="s">
        <v>131</v>
      </c>
    </row>
    <row r="446" spans="1:12" s="53" customFormat="1" ht="20.100000000000001" customHeight="1" thickBot="1" x14ac:dyDescent="0.3">
      <c r="A446" s="328"/>
      <c r="B446" s="265" t="s">
        <v>212</v>
      </c>
      <c r="C446" s="19">
        <f>SUM(C441:C444)</f>
        <v>5744.2595162728448</v>
      </c>
      <c r="D446" s="19">
        <f t="shared" ref="D446:K446" si="250">SUM(D441:D444)</f>
        <v>11615.275088922555</v>
      </c>
      <c r="E446" s="19">
        <f t="shared" si="250"/>
        <v>1022.658818336974</v>
      </c>
      <c r="F446" s="19">
        <f t="shared" si="250"/>
        <v>601.52219115955256</v>
      </c>
      <c r="G446" s="19">
        <f t="shared" si="250"/>
        <v>1297.3247524544215</v>
      </c>
      <c r="H446" s="19">
        <f t="shared" si="250"/>
        <v>476.30999325567103</v>
      </c>
      <c r="I446" s="19">
        <f t="shared" si="250"/>
        <v>2880.6813341916254</v>
      </c>
      <c r="J446" s="19">
        <f t="shared" si="250"/>
        <v>3662.1975925594097</v>
      </c>
      <c r="K446" s="19">
        <f t="shared" si="250"/>
        <v>858.97928517736659</v>
      </c>
      <c r="L446" s="34" t="s">
        <v>131</v>
      </c>
    </row>
    <row r="447" spans="1:12" s="53" customFormat="1" ht="20.100000000000001" hidden="1" customHeight="1" thickBot="1" x14ac:dyDescent="0.3">
      <c r="A447" s="327" t="s">
        <v>985</v>
      </c>
      <c r="B447" s="321" t="s">
        <v>62</v>
      </c>
      <c r="C447" s="9">
        <v>3644.7248925102185</v>
      </c>
      <c r="D447" s="9">
        <v>7281.6630094240836</v>
      </c>
      <c r="E447" s="9">
        <v>491.41282446350124</v>
      </c>
      <c r="F447" s="9">
        <v>342.20893785967587</v>
      </c>
      <c r="G447" s="9">
        <v>800.15098225276358</v>
      </c>
      <c r="H447" s="9">
        <v>397.65592683375002</v>
      </c>
      <c r="I447" s="9">
        <v>1270.9019802808484</v>
      </c>
      <c r="J447" s="9">
        <v>1577.3340862761052</v>
      </c>
      <c r="K447" s="9">
        <v>351.66263748315339</v>
      </c>
      <c r="L447" s="21" t="s">
        <v>131</v>
      </c>
    </row>
    <row r="448" spans="1:12" s="53" customFormat="1" ht="20.100000000000001" customHeight="1" x14ac:dyDescent="0.25">
      <c r="A448" s="327"/>
      <c r="B448" s="322"/>
      <c r="C448" s="10">
        <f>C447/13.19*19.53*1.039</f>
        <v>5607.0928551632169</v>
      </c>
      <c r="D448" s="10">
        <f t="shared" ref="D448:K448" si="251">D447/13.19*19.53*1.039</f>
        <v>11202.206432027324</v>
      </c>
      <c r="E448" s="10">
        <f t="shared" si="251"/>
        <v>755.99597178023475</v>
      </c>
      <c r="F448" s="10">
        <f t="shared" si="251"/>
        <v>526.45874435929113</v>
      </c>
      <c r="G448" s="10">
        <f t="shared" si="251"/>
        <v>1230.962826538964</v>
      </c>
      <c r="H448" s="10">
        <f t="shared" si="251"/>
        <v>611.75912364326007</v>
      </c>
      <c r="I448" s="10">
        <f t="shared" si="251"/>
        <v>1955.1723719640247</v>
      </c>
      <c r="J448" s="10">
        <f t="shared" si="251"/>
        <v>2426.591566221854</v>
      </c>
      <c r="K448" s="10">
        <f t="shared" si="251"/>
        <v>541.00244057147688</v>
      </c>
      <c r="L448" s="21" t="s">
        <v>131</v>
      </c>
    </row>
    <row r="449" spans="1:12" s="53" customFormat="1" ht="20.100000000000001" customHeight="1" x14ac:dyDescent="0.25">
      <c r="A449" s="327"/>
      <c r="B449" s="322"/>
      <c r="C449" s="16">
        <f>C448*0.0214</f>
        <v>119.99178710049283</v>
      </c>
      <c r="D449" s="16">
        <f t="shared" ref="D449:K449" si="252">D448*0.0214</f>
        <v>239.72721764538471</v>
      </c>
      <c r="E449" s="16">
        <f t="shared" si="252"/>
        <v>16.178313796097022</v>
      </c>
      <c r="F449" s="16">
        <f t="shared" si="252"/>
        <v>11.26621712928883</v>
      </c>
      <c r="G449" s="16">
        <f t="shared" si="252"/>
        <v>26.34260448793383</v>
      </c>
      <c r="H449" s="16">
        <f t="shared" si="252"/>
        <v>13.091645245965765</v>
      </c>
      <c r="I449" s="16">
        <f t="shared" si="252"/>
        <v>41.840688760030126</v>
      </c>
      <c r="J449" s="16">
        <f t="shared" si="252"/>
        <v>51.929059517147671</v>
      </c>
      <c r="K449" s="16">
        <f t="shared" si="252"/>
        <v>11.577452228229605</v>
      </c>
      <c r="L449" s="15" t="s">
        <v>131</v>
      </c>
    </row>
    <row r="450" spans="1:12" s="53" customFormat="1" ht="20.100000000000001" hidden="1" customHeight="1" x14ac:dyDescent="0.25">
      <c r="A450" s="327"/>
      <c r="B450" s="322"/>
      <c r="C450" s="16">
        <f>11712/1673.5</f>
        <v>6.9985061248879594</v>
      </c>
      <c r="D450" s="16">
        <f>8731/418</f>
        <v>20.887559808612441</v>
      </c>
      <c r="E450" s="16">
        <f>4810/1673.5</f>
        <v>2.8742157155661787</v>
      </c>
      <c r="F450" s="16">
        <f>10692/2/1673.5</f>
        <v>3.1945025395876905</v>
      </c>
      <c r="G450" s="16">
        <f>7692/1673.5</f>
        <v>4.5963549447266212</v>
      </c>
      <c r="H450" s="16">
        <f>F450</f>
        <v>3.1945025395876905</v>
      </c>
      <c r="I450" s="16">
        <f>18940/1673.5</f>
        <v>11.317597848819839</v>
      </c>
      <c r="J450" s="16">
        <f>2254/1673.5</f>
        <v>1.3468778010158351</v>
      </c>
      <c r="K450" s="16">
        <f>J450</f>
        <v>1.3468778010158351</v>
      </c>
      <c r="L450" s="15" t="s">
        <v>131</v>
      </c>
    </row>
    <row r="451" spans="1:12" s="53" customFormat="1" ht="20.100000000000001" hidden="1" customHeight="1" thickBot="1" x14ac:dyDescent="0.3">
      <c r="A451" s="327"/>
      <c r="B451" s="322"/>
      <c r="C451" s="67">
        <f>(1/1673.5)*193166.58*1.2*P4</f>
        <v>171.56064606266725</v>
      </c>
      <c r="D451" s="67">
        <f>(1/718)*67608.66*1.2*P4</f>
        <v>139.95527859354931</v>
      </c>
      <c r="E451" s="67">
        <f>(1/1673.5)*128778.06*1.2*P4</f>
        <v>114.37406601233467</v>
      </c>
      <c r="F451" s="68">
        <f>(1/1673.5)*96582.78*1.2*P4</f>
        <v>85.779870075498863</v>
      </c>
      <c r="G451" s="68">
        <f>(1/1673.5)*96582.78*1.2*P4</f>
        <v>85.779870075498863</v>
      </c>
      <c r="H451" s="68">
        <f>(1/1673.5)*96582.78*1.2*P4</f>
        <v>85.779870075498863</v>
      </c>
      <c r="I451" s="68">
        <f>(1/1673.5)*127167.48*1.2*P4</f>
        <v>112.94363148615727</v>
      </c>
      <c r="J451" s="68">
        <f>(1/1673.5)*157752.18*1.2*P4</f>
        <v>140.10739289681567</v>
      </c>
      <c r="K451" s="67">
        <f>(1/1673.5)*67608.66*1.2*P4</f>
        <v>60.046543191017868</v>
      </c>
      <c r="L451" s="34" t="s">
        <v>131</v>
      </c>
    </row>
    <row r="452" spans="1:12" s="53" customFormat="1" ht="20.100000000000001" customHeight="1" thickBot="1" x14ac:dyDescent="0.3">
      <c r="A452" s="327"/>
      <c r="B452" s="323"/>
      <c r="C452" s="18">
        <f>C451+C450</f>
        <v>178.55915218755521</v>
      </c>
      <c r="D452" s="18">
        <f t="shared" ref="D452:K452" si="253">D451+D450</f>
        <v>160.84283840216176</v>
      </c>
      <c r="E452" s="18">
        <f t="shared" si="253"/>
        <v>117.24828172790085</v>
      </c>
      <c r="F452" s="18">
        <f t="shared" si="253"/>
        <v>88.974372615086551</v>
      </c>
      <c r="G452" s="18">
        <f t="shared" si="253"/>
        <v>90.37622502022549</v>
      </c>
      <c r="H452" s="18">
        <f t="shared" si="253"/>
        <v>88.974372615086551</v>
      </c>
      <c r="I452" s="18">
        <f t="shared" si="253"/>
        <v>124.26122933497712</v>
      </c>
      <c r="J452" s="18">
        <f t="shared" si="253"/>
        <v>141.4542706978315</v>
      </c>
      <c r="K452" s="18">
        <f t="shared" si="253"/>
        <v>61.393420992033704</v>
      </c>
      <c r="L452" s="34" t="s">
        <v>131</v>
      </c>
    </row>
    <row r="453" spans="1:12" s="53" customFormat="1" ht="20.100000000000001" customHeight="1" thickBot="1" x14ac:dyDescent="0.3">
      <c r="A453" s="328"/>
      <c r="B453" s="259" t="s">
        <v>212</v>
      </c>
      <c r="C453" s="36">
        <f>SUM(C448:C451)</f>
        <v>5905.6437944512645</v>
      </c>
      <c r="D453" s="36">
        <f t="shared" ref="D453:K453" si="254">SUM(D448:D451)</f>
        <v>11602.776488074869</v>
      </c>
      <c r="E453" s="36">
        <f t="shared" si="254"/>
        <v>889.42256730423253</v>
      </c>
      <c r="F453" s="36">
        <f t="shared" si="254"/>
        <v>626.6993341036665</v>
      </c>
      <c r="G453" s="36">
        <f t="shared" si="254"/>
        <v>1347.6816560471234</v>
      </c>
      <c r="H453" s="36">
        <f t="shared" si="254"/>
        <v>713.82514150431234</v>
      </c>
      <c r="I453" s="36">
        <f t="shared" si="254"/>
        <v>2121.274290059032</v>
      </c>
      <c r="J453" s="36">
        <f t="shared" si="254"/>
        <v>2619.9748964368337</v>
      </c>
      <c r="K453" s="36">
        <f t="shared" si="254"/>
        <v>613.97331379174022</v>
      </c>
      <c r="L453" s="37" t="s">
        <v>131</v>
      </c>
    </row>
    <row r="454" spans="1:12" s="53" customFormat="1" ht="20.100000000000001" hidden="1" customHeight="1" x14ac:dyDescent="0.25">
      <c r="A454" s="327" t="s">
        <v>986</v>
      </c>
      <c r="B454" s="321" t="s">
        <v>63</v>
      </c>
      <c r="C454" s="35">
        <v>5499.2623006273143</v>
      </c>
      <c r="D454" s="35">
        <v>8323.1615904258288</v>
      </c>
      <c r="E454" s="35">
        <v>847.69515413615363</v>
      </c>
      <c r="F454" s="35">
        <v>552.63066051193846</v>
      </c>
      <c r="G454" s="35" t="s">
        <v>131</v>
      </c>
      <c r="H454" s="35">
        <v>581.82248751154566</v>
      </c>
      <c r="I454" s="35">
        <v>3255.2866455981944</v>
      </c>
      <c r="J454" s="35">
        <v>2813.4574950537358</v>
      </c>
      <c r="K454" s="7" t="s">
        <v>131</v>
      </c>
      <c r="L454" s="8" t="s">
        <v>131</v>
      </c>
    </row>
    <row r="455" spans="1:12" s="53" customFormat="1" ht="20.100000000000001" customHeight="1" x14ac:dyDescent="0.25">
      <c r="A455" s="327"/>
      <c r="B455" s="322"/>
      <c r="C455" s="10">
        <f>C454/14.06*19.53*1.039</f>
        <v>7936.6440859011554</v>
      </c>
      <c r="D455" s="10">
        <f t="shared" ref="D455:J455" si="255">D454/14.06*19.53*1.039</f>
        <v>12012.151376215937</v>
      </c>
      <c r="E455" s="10">
        <f t="shared" si="255"/>
        <v>1223.410407420339</v>
      </c>
      <c r="F455" s="10">
        <f t="shared" si="255"/>
        <v>797.5674960875026</v>
      </c>
      <c r="G455" s="10" t="s">
        <v>131</v>
      </c>
      <c r="H455" s="10">
        <f t="shared" si="255"/>
        <v>839.69771800593207</v>
      </c>
      <c r="I455" s="10">
        <f t="shared" si="255"/>
        <v>4698.094051769951</v>
      </c>
      <c r="J455" s="10">
        <f t="shared" si="255"/>
        <v>4060.4374856797322</v>
      </c>
      <c r="K455" s="10" t="s">
        <v>131</v>
      </c>
      <c r="L455" s="26" t="s">
        <v>131</v>
      </c>
    </row>
    <row r="456" spans="1:12" s="53" customFormat="1" ht="20.100000000000001" customHeight="1" x14ac:dyDescent="0.25">
      <c r="A456" s="327"/>
      <c r="B456" s="322"/>
      <c r="C456" s="16">
        <f>C455*0.0214</f>
        <v>169.84418343828472</v>
      </c>
      <c r="D456" s="16">
        <f t="shared" ref="D456:J456" si="256">D455*0.0214</f>
        <v>257.06003945102105</v>
      </c>
      <c r="E456" s="16">
        <f t="shared" si="256"/>
        <v>26.180982718795253</v>
      </c>
      <c r="F456" s="16">
        <f t="shared" si="256"/>
        <v>17.067944416272553</v>
      </c>
      <c r="G456" s="16" t="s">
        <v>131</v>
      </c>
      <c r="H456" s="16">
        <f t="shared" si="256"/>
        <v>17.969531165326945</v>
      </c>
      <c r="I456" s="16">
        <f t="shared" si="256"/>
        <v>100.53921270787694</v>
      </c>
      <c r="J456" s="16">
        <f t="shared" si="256"/>
        <v>86.893362193546267</v>
      </c>
      <c r="K456" s="16" t="s">
        <v>131</v>
      </c>
      <c r="L456" s="15" t="s">
        <v>131</v>
      </c>
    </row>
    <row r="457" spans="1:12" s="53" customFormat="1" ht="20.100000000000001" hidden="1" customHeight="1" x14ac:dyDescent="0.25">
      <c r="A457" s="327"/>
      <c r="B457" s="322"/>
      <c r="C457" s="16">
        <f>5400/620.2</f>
        <v>8.7068687520154775</v>
      </c>
      <c r="D457" s="16">
        <f>4059/341</f>
        <v>11.903225806451612</v>
      </c>
      <c r="E457" s="16">
        <f>1904/620.2</f>
        <v>3.0699774266365685</v>
      </c>
      <c r="F457" s="16">
        <f>2965/2/620.2</f>
        <v>2.3903579490486937</v>
      </c>
      <c r="G457" s="16" t="s">
        <v>131</v>
      </c>
      <c r="H457" s="16">
        <f>F457</f>
        <v>2.3903579490486937</v>
      </c>
      <c r="I457" s="16">
        <f>4361/620.2</f>
        <v>7.0316027088036108</v>
      </c>
      <c r="J457" s="16">
        <f>1125/620.2</f>
        <v>1.8139309900032246</v>
      </c>
      <c r="K457" s="16" t="s">
        <v>131</v>
      </c>
      <c r="L457" s="15" t="s">
        <v>131</v>
      </c>
    </row>
    <row r="458" spans="1:12" s="53" customFormat="1" ht="20.100000000000001" hidden="1" customHeight="1" thickBot="1" x14ac:dyDescent="0.3">
      <c r="A458" s="327"/>
      <c r="B458" s="322"/>
      <c r="C458" s="18">
        <f>(1/620.2)*84773.22*1.2*P4</f>
        <v>203.16005263704406</v>
      </c>
      <c r="D458" s="19">
        <f>(1/720.2)*72057.9*1.2*P4</f>
        <v>148.70990055087034</v>
      </c>
      <c r="E458" s="18">
        <f>(1/620.2)*56515.14*1.2*P4</f>
        <v>135.43922027722803</v>
      </c>
      <c r="F458" s="19">
        <f>(1/620.2)*42387.12*1.2*P4</f>
        <v>101.58124853972403</v>
      </c>
      <c r="G458" s="19" t="s">
        <v>131</v>
      </c>
      <c r="H458" s="19">
        <f>(1/620.2)*42387.12*1.2*P4</f>
        <v>101.58124853972403</v>
      </c>
      <c r="I458" s="19">
        <f>(1/620.2)*55809.3*1.2*P4</f>
        <v>133.74766613367504</v>
      </c>
      <c r="J458" s="19">
        <f>(1/620.2)*69231.48*1.2*P4</f>
        <v>165.91408372762601</v>
      </c>
      <c r="K458" s="18" t="s">
        <v>131</v>
      </c>
      <c r="L458" s="20" t="s">
        <v>131</v>
      </c>
    </row>
    <row r="459" spans="1:12" s="53" customFormat="1" ht="20.100000000000001" customHeight="1" thickBot="1" x14ac:dyDescent="0.3">
      <c r="A459" s="327"/>
      <c r="B459" s="323"/>
      <c r="C459" s="18">
        <f>C458+C457</f>
        <v>211.86692138905954</v>
      </c>
      <c r="D459" s="18">
        <f t="shared" ref="D459:J459" si="257">D458+D457</f>
        <v>160.61312635732196</v>
      </c>
      <c r="E459" s="18">
        <f t="shared" si="257"/>
        <v>138.5091977038646</v>
      </c>
      <c r="F459" s="18">
        <f t="shared" si="257"/>
        <v>103.97160648877272</v>
      </c>
      <c r="G459" s="18" t="s">
        <v>131</v>
      </c>
      <c r="H459" s="18">
        <f t="shared" si="257"/>
        <v>103.97160648877272</v>
      </c>
      <c r="I459" s="18">
        <f t="shared" si="257"/>
        <v>140.77926884247864</v>
      </c>
      <c r="J459" s="18">
        <f t="shared" si="257"/>
        <v>167.72801471762924</v>
      </c>
      <c r="K459" s="18" t="s">
        <v>131</v>
      </c>
      <c r="L459" s="34" t="s">
        <v>131</v>
      </c>
    </row>
    <row r="460" spans="1:12" s="53" customFormat="1" ht="20.100000000000001" customHeight="1" thickBot="1" x14ac:dyDescent="0.3">
      <c r="A460" s="328"/>
      <c r="B460" s="265" t="s">
        <v>212</v>
      </c>
      <c r="C460" s="36">
        <f>SUM(C455:C458)</f>
        <v>8318.3551907285</v>
      </c>
      <c r="D460" s="36">
        <f t="shared" ref="D460:J460" si="258">SUM(D455:D458)</f>
        <v>12429.824542024278</v>
      </c>
      <c r="E460" s="36">
        <f t="shared" si="258"/>
        <v>1388.1005878429989</v>
      </c>
      <c r="F460" s="36">
        <f t="shared" si="258"/>
        <v>918.60704699254791</v>
      </c>
      <c r="G460" s="36" t="s">
        <v>131</v>
      </c>
      <c r="H460" s="36">
        <f t="shared" si="258"/>
        <v>961.63885566003182</v>
      </c>
      <c r="I460" s="36">
        <f t="shared" si="258"/>
        <v>4939.4125333203065</v>
      </c>
      <c r="J460" s="36">
        <f t="shared" si="258"/>
        <v>4315.0588625909086</v>
      </c>
      <c r="K460" s="36" t="s">
        <v>131</v>
      </c>
      <c r="L460" s="34" t="s">
        <v>131</v>
      </c>
    </row>
    <row r="461" spans="1:12" s="53" customFormat="1" ht="20.100000000000001" hidden="1" customHeight="1" thickBot="1" x14ac:dyDescent="0.3">
      <c r="A461" s="327" t="s">
        <v>987</v>
      </c>
      <c r="B461" s="321" t="s">
        <v>64</v>
      </c>
      <c r="C461" s="9">
        <v>5591.2171849180331</v>
      </c>
      <c r="D461" s="9">
        <v>6746.8682774999997</v>
      </c>
      <c r="E461" s="9">
        <v>861.86973393442622</v>
      </c>
      <c r="F461" s="9">
        <v>561.87137311475419</v>
      </c>
      <c r="G461" s="9" t="s">
        <v>131</v>
      </c>
      <c r="H461" s="9">
        <v>591.55133065573773</v>
      </c>
      <c r="I461" s="9">
        <v>3309.7193075409841</v>
      </c>
      <c r="J461" s="9">
        <v>2860.5021934426231</v>
      </c>
      <c r="K461" s="9" t="s">
        <v>131</v>
      </c>
      <c r="L461" s="20" t="s">
        <v>131</v>
      </c>
    </row>
    <row r="462" spans="1:12" s="53" customFormat="1" ht="20.100000000000001" customHeight="1" x14ac:dyDescent="0.25">
      <c r="A462" s="327"/>
      <c r="B462" s="322"/>
      <c r="C462" s="10">
        <f>C461/14.06*19.53*1.039</f>
        <v>8069.3551930786407</v>
      </c>
      <c r="D462" s="10">
        <f t="shared" ref="D462:J462" si="259">D461/14.06*19.53*1.039</f>
        <v>9737.2136998932019</v>
      </c>
      <c r="E462" s="10">
        <f t="shared" si="259"/>
        <v>1243.8674412507239</v>
      </c>
      <c r="F462" s="10">
        <f t="shared" si="259"/>
        <v>810.90387522698882</v>
      </c>
      <c r="G462" s="10" t="s">
        <v>131</v>
      </c>
      <c r="H462" s="10">
        <f t="shared" si="259"/>
        <v>853.73857679424714</v>
      </c>
      <c r="I462" s="10">
        <f t="shared" si="259"/>
        <v>4776.6523457503663</v>
      </c>
      <c r="J462" s="10">
        <f t="shared" si="259"/>
        <v>4128.3333245813565</v>
      </c>
      <c r="K462" s="10" t="s">
        <v>131</v>
      </c>
      <c r="L462" s="26" t="s">
        <v>131</v>
      </c>
    </row>
    <row r="463" spans="1:12" s="53" customFormat="1" ht="20.100000000000001" customHeight="1" x14ac:dyDescent="0.25">
      <c r="A463" s="327"/>
      <c r="B463" s="322"/>
      <c r="C463" s="16">
        <f>C462*0.0214</f>
        <v>172.6842011318829</v>
      </c>
      <c r="D463" s="16">
        <f t="shared" ref="D463:J463" si="260">D462*0.0214</f>
        <v>208.3763731777145</v>
      </c>
      <c r="E463" s="16">
        <f t="shared" si="260"/>
        <v>26.618763242765489</v>
      </c>
      <c r="F463" s="16">
        <f t="shared" si="260"/>
        <v>17.353342929857561</v>
      </c>
      <c r="G463" s="16" t="s">
        <v>131</v>
      </c>
      <c r="H463" s="16">
        <f t="shared" si="260"/>
        <v>18.270005543396888</v>
      </c>
      <c r="I463" s="16">
        <f t="shared" si="260"/>
        <v>102.22036019905784</v>
      </c>
      <c r="J463" s="16">
        <f t="shared" si="260"/>
        <v>88.346333146041019</v>
      </c>
      <c r="K463" s="16" t="s">
        <v>131</v>
      </c>
      <c r="L463" s="15" t="s">
        <v>131</v>
      </c>
    </row>
    <row r="464" spans="1:12" s="53" customFormat="1" ht="20.100000000000001" hidden="1" customHeight="1" x14ac:dyDescent="0.25">
      <c r="A464" s="327"/>
      <c r="B464" s="322"/>
      <c r="C464" s="16">
        <f>5314/609.5</f>
        <v>8.7186218211648896</v>
      </c>
      <c r="D464" s="16">
        <f>3995/305</f>
        <v>13.098360655737705</v>
      </c>
      <c r="E464" s="16">
        <f>1876/609.5</f>
        <v>3.0779327317473339</v>
      </c>
      <c r="F464" s="16">
        <f>2926/2/609.5</f>
        <v>2.4003281378178833</v>
      </c>
      <c r="G464" s="16" t="s">
        <v>131</v>
      </c>
      <c r="H464" s="16">
        <f>F464</f>
        <v>2.4003281378178833</v>
      </c>
      <c r="I464" s="16">
        <f>4293/609.5</f>
        <v>7.0434782608695654</v>
      </c>
      <c r="J464" s="16">
        <f>1110/609.5</f>
        <v>1.8211648892534864</v>
      </c>
      <c r="K464" s="16" t="s">
        <v>131</v>
      </c>
      <c r="L464" s="15" t="s">
        <v>131</v>
      </c>
    </row>
    <row r="465" spans="1:12" s="53" customFormat="1" ht="20.100000000000001" hidden="1" customHeight="1" thickBot="1" x14ac:dyDescent="0.3">
      <c r="A465" s="327"/>
      <c r="B465" s="322"/>
      <c r="C465" s="18">
        <f>(1/902)*84599.82*1.2*P4</f>
        <v>139.40369989476017</v>
      </c>
      <c r="D465" s="18">
        <f>(1/305)*29609.58*1.2*P4</f>
        <v>144.29251620217428</v>
      </c>
      <c r="E465" s="18">
        <f>(1/609.5)*56399.88*1.2*P4</f>
        <v>137.53583517098571</v>
      </c>
      <c r="F465" s="19">
        <f>(1/609.5)*42300.42*1.2*P4</f>
        <v>103.15312005599066</v>
      </c>
      <c r="G465" s="9" t="s">
        <v>131</v>
      </c>
      <c r="H465" s="19">
        <f>(1/609.5)*42300.42*1.2*P4</f>
        <v>103.15312005599066</v>
      </c>
      <c r="I465" s="19">
        <f>(1/609.5)*55695.06*1.2*P4</f>
        <v>135.81707251856136</v>
      </c>
      <c r="J465" s="19">
        <f>(1/609.5)*69089.7*1.2*P4</f>
        <v>168.48102498113207</v>
      </c>
      <c r="K465" s="9" t="s">
        <v>131</v>
      </c>
      <c r="L465" s="34" t="s">
        <v>131</v>
      </c>
    </row>
    <row r="466" spans="1:12" s="53" customFormat="1" ht="20.100000000000001" customHeight="1" thickBot="1" x14ac:dyDescent="0.3">
      <c r="A466" s="327"/>
      <c r="B466" s="323"/>
      <c r="C466" s="18">
        <f>C465+C464</f>
        <v>148.12232171592507</v>
      </c>
      <c r="D466" s="18">
        <f t="shared" ref="D466:J466" si="261">D465+D464</f>
        <v>157.39087685791199</v>
      </c>
      <c r="E466" s="18">
        <f t="shared" si="261"/>
        <v>140.61376790273303</v>
      </c>
      <c r="F466" s="18">
        <f t="shared" si="261"/>
        <v>105.55344819380853</v>
      </c>
      <c r="G466" s="18" t="s">
        <v>131</v>
      </c>
      <c r="H466" s="18">
        <f t="shared" si="261"/>
        <v>105.55344819380853</v>
      </c>
      <c r="I466" s="18">
        <f t="shared" si="261"/>
        <v>142.86055077943092</v>
      </c>
      <c r="J466" s="18">
        <f t="shared" si="261"/>
        <v>170.30218987038555</v>
      </c>
      <c r="K466" s="18" t="s">
        <v>131</v>
      </c>
      <c r="L466" s="34" t="s">
        <v>131</v>
      </c>
    </row>
    <row r="467" spans="1:12" s="53" customFormat="1" ht="20.100000000000001" customHeight="1" thickBot="1" x14ac:dyDescent="0.3">
      <c r="A467" s="328"/>
      <c r="B467" s="265" t="s">
        <v>212</v>
      </c>
      <c r="C467" s="18">
        <f>SUM(C462:C465)</f>
        <v>8390.1617159264479</v>
      </c>
      <c r="D467" s="18">
        <f t="shared" ref="D467:J467" si="262">SUM(D462:D465)</f>
        <v>10102.980949928829</v>
      </c>
      <c r="E467" s="18">
        <f t="shared" si="262"/>
        <v>1411.0999723962223</v>
      </c>
      <c r="F467" s="18">
        <f t="shared" si="262"/>
        <v>933.81066635065486</v>
      </c>
      <c r="G467" s="18" t="s">
        <v>131</v>
      </c>
      <c r="H467" s="18">
        <f t="shared" si="262"/>
        <v>977.56203053145259</v>
      </c>
      <c r="I467" s="18">
        <f t="shared" si="262"/>
        <v>5021.7332567288549</v>
      </c>
      <c r="J467" s="18">
        <f t="shared" si="262"/>
        <v>4386.9818475977827</v>
      </c>
      <c r="K467" s="18" t="s">
        <v>131</v>
      </c>
      <c r="L467" s="34" t="s">
        <v>131</v>
      </c>
    </row>
    <row r="468" spans="1:12" s="53" customFormat="1" ht="20.100000000000001" hidden="1" customHeight="1" thickBot="1" x14ac:dyDescent="0.3">
      <c r="A468" s="327" t="s">
        <v>988</v>
      </c>
      <c r="B468" s="321" t="s">
        <v>164</v>
      </c>
      <c r="C468" s="9">
        <v>5582.6541373759646</v>
      </c>
      <c r="D468" s="9">
        <v>5664.0982562499994</v>
      </c>
      <c r="E468" s="9">
        <v>807.337114002205</v>
      </c>
      <c r="F468" s="9">
        <v>486.31766427783901</v>
      </c>
      <c r="G468" s="9">
        <v>1261.6936719955902</v>
      </c>
      <c r="H468" s="9">
        <v>396.44922006615218</v>
      </c>
      <c r="I468" s="9">
        <v>2547.8284081587649</v>
      </c>
      <c r="J468" s="9">
        <v>3447.5516788313121</v>
      </c>
      <c r="K468" s="9">
        <v>827.59400573318635</v>
      </c>
      <c r="L468" s="20" t="s">
        <v>131</v>
      </c>
    </row>
    <row r="469" spans="1:12" s="53" customFormat="1" ht="20.100000000000001" customHeight="1" x14ac:dyDescent="0.25">
      <c r="A469" s="327"/>
      <c r="B469" s="322"/>
      <c r="C469" s="10">
        <f>C468/14.06*19.53*1.039</f>
        <v>8056.9968335538924</v>
      </c>
      <c r="D469" s="10">
        <f t="shared" ref="D469:K469" si="263">D468/14.06*19.53*1.039</f>
        <v>8174.5385962589207</v>
      </c>
      <c r="E469" s="10">
        <f t="shared" si="263"/>
        <v>1165.1648859235506</v>
      </c>
      <c r="F469" s="10">
        <f t="shared" si="263"/>
        <v>701.86326875509928</v>
      </c>
      <c r="G469" s="10">
        <f t="shared" si="263"/>
        <v>1820.9012541410211</v>
      </c>
      <c r="H469" s="10">
        <f t="shared" si="263"/>
        <v>572.16335315360868</v>
      </c>
      <c r="I469" s="10">
        <f t="shared" si="263"/>
        <v>3677.0763353472944</v>
      </c>
      <c r="J469" s="10">
        <f t="shared" si="263"/>
        <v>4975.5747492738956</v>
      </c>
      <c r="K469" s="10">
        <f t="shared" si="263"/>
        <v>1194.4000325971497</v>
      </c>
      <c r="L469" s="26" t="s">
        <v>131</v>
      </c>
    </row>
    <row r="470" spans="1:12" s="53" customFormat="1" ht="20.100000000000001" customHeight="1" x14ac:dyDescent="0.25">
      <c r="A470" s="327"/>
      <c r="B470" s="322"/>
      <c r="C470" s="16">
        <f>C469*0.0214</f>
        <v>172.41973223805329</v>
      </c>
      <c r="D470" s="16">
        <f t="shared" ref="D470:K470" si="264">D469*0.0214</f>
        <v>174.9351259599409</v>
      </c>
      <c r="E470" s="16">
        <f t="shared" si="264"/>
        <v>24.934528558763983</v>
      </c>
      <c r="F470" s="16">
        <f t="shared" si="264"/>
        <v>15.019873951359124</v>
      </c>
      <c r="G470" s="16">
        <f t="shared" si="264"/>
        <v>38.967286838617852</v>
      </c>
      <c r="H470" s="16">
        <f t="shared" si="264"/>
        <v>12.244295757487226</v>
      </c>
      <c r="I470" s="16">
        <f t="shared" si="264"/>
        <v>78.689433576432094</v>
      </c>
      <c r="J470" s="16">
        <f t="shared" si="264"/>
        <v>106.47729963446136</v>
      </c>
      <c r="K470" s="16">
        <f t="shared" si="264"/>
        <v>25.560160697579001</v>
      </c>
      <c r="L470" s="15" t="s">
        <v>131</v>
      </c>
    </row>
    <row r="471" spans="1:12" s="53" customFormat="1" ht="20.100000000000001" hidden="1" customHeight="1" x14ac:dyDescent="0.25">
      <c r="A471" s="327"/>
      <c r="B471" s="322"/>
      <c r="C471" s="16">
        <f>11576/1489</f>
        <v>7.7743451981195433</v>
      </c>
      <c r="D471" s="16">
        <f>8644/546</f>
        <v>15.831501831501832</v>
      </c>
      <c r="E471" s="16">
        <f>2955/1489</f>
        <v>1.984553391537945</v>
      </c>
      <c r="F471" s="16">
        <f>9537/2/1489</f>
        <v>3.2024848891873741</v>
      </c>
      <c r="G471" s="16">
        <f>6867/1489</f>
        <v>4.6118200134318332</v>
      </c>
      <c r="H471" s="16">
        <f>F471</f>
        <v>3.2024848891873741</v>
      </c>
      <c r="I471" s="16">
        <f>10204/1489</f>
        <v>6.8529214237743448</v>
      </c>
      <c r="J471" s="16">
        <f>2230/1489</f>
        <v>1.4976494291470785</v>
      </c>
      <c r="K471" s="16">
        <f>J471</f>
        <v>1.4976494291470785</v>
      </c>
      <c r="L471" s="15" t="s">
        <v>131</v>
      </c>
    </row>
    <row r="472" spans="1:12" s="53" customFormat="1" ht="20.100000000000001" hidden="1" customHeight="1" thickBot="1" x14ac:dyDescent="0.3">
      <c r="A472" s="327"/>
      <c r="B472" s="322"/>
      <c r="C472" s="18">
        <f>115*P4</f>
        <v>142.43869736842103</v>
      </c>
      <c r="D472" s="19">
        <f>122.13*P4</f>
        <v>151.26989660526314</v>
      </c>
      <c r="E472" s="18">
        <f>111.826637265711*P4</f>
        <v>138.50817863668524</v>
      </c>
      <c r="F472" s="19">
        <f>83.8689658213892*P4</f>
        <v>103.87988035856786</v>
      </c>
      <c r="G472" s="19">
        <f>83.8689658213892*P4</f>
        <v>103.87988035856786</v>
      </c>
      <c r="H472" s="19">
        <f>83.8689658213892*P4</f>
        <v>103.87988035856786</v>
      </c>
      <c r="I472" s="19">
        <f>110.428551267916*P4</f>
        <v>136.77651299899006</v>
      </c>
      <c r="J472" s="19">
        <f>136.986787210584*P4</f>
        <v>169.67147414748402</v>
      </c>
      <c r="K472" s="19">
        <f>58.708815876516*P4</f>
        <v>72.716584847768829</v>
      </c>
      <c r="L472" s="20" t="s">
        <v>131</v>
      </c>
    </row>
    <row r="473" spans="1:12" s="53" customFormat="1" ht="20.100000000000001" customHeight="1" thickBot="1" x14ac:dyDescent="0.3">
      <c r="A473" s="327"/>
      <c r="B473" s="323"/>
      <c r="C473" s="18">
        <f>C472+C471</f>
        <v>150.21304256654057</v>
      </c>
      <c r="D473" s="18">
        <f t="shared" ref="D473:K473" si="265">D472+D471</f>
        <v>167.10139843676498</v>
      </c>
      <c r="E473" s="18">
        <f t="shared" si="265"/>
        <v>140.4927320282232</v>
      </c>
      <c r="F473" s="18">
        <f t="shared" si="265"/>
        <v>107.08236524775523</v>
      </c>
      <c r="G473" s="18">
        <f t="shared" si="265"/>
        <v>108.4917003719997</v>
      </c>
      <c r="H473" s="18">
        <f t="shared" si="265"/>
        <v>107.08236524775523</v>
      </c>
      <c r="I473" s="18">
        <f t="shared" si="265"/>
        <v>143.6294344227644</v>
      </c>
      <c r="J473" s="18">
        <f t="shared" si="265"/>
        <v>171.16912357663111</v>
      </c>
      <c r="K473" s="18">
        <f t="shared" si="265"/>
        <v>74.214234276915903</v>
      </c>
      <c r="L473" s="34" t="s">
        <v>131</v>
      </c>
    </row>
    <row r="474" spans="1:12" s="53" customFormat="1" ht="20.100000000000001" customHeight="1" thickBot="1" x14ac:dyDescent="0.3">
      <c r="A474" s="328"/>
      <c r="B474" s="259" t="s">
        <v>212</v>
      </c>
      <c r="C474" s="36">
        <f>SUM(C469:C472)</f>
        <v>8379.6296083584857</v>
      </c>
      <c r="D474" s="36">
        <f t="shared" ref="D474:K474" si="266">SUM(D469:D472)</f>
        <v>8516.575120655627</v>
      </c>
      <c r="E474" s="36">
        <f t="shared" si="266"/>
        <v>1330.5921465105378</v>
      </c>
      <c r="F474" s="36">
        <f t="shared" si="266"/>
        <v>823.96550795421376</v>
      </c>
      <c r="G474" s="36">
        <f t="shared" si="266"/>
        <v>1968.3602413516385</v>
      </c>
      <c r="H474" s="36">
        <f t="shared" si="266"/>
        <v>691.49001415885118</v>
      </c>
      <c r="I474" s="36">
        <f t="shared" si="266"/>
        <v>3899.3952033464911</v>
      </c>
      <c r="J474" s="36">
        <f t="shared" si="266"/>
        <v>5253.2211724849885</v>
      </c>
      <c r="K474" s="36">
        <f t="shared" si="266"/>
        <v>1294.1744275716446</v>
      </c>
      <c r="L474" s="37" t="s">
        <v>131</v>
      </c>
    </row>
    <row r="475" spans="1:12" s="53" customFormat="1" ht="20.100000000000001" hidden="1" customHeight="1" thickBot="1" x14ac:dyDescent="0.3">
      <c r="A475" s="327" t="s">
        <v>989</v>
      </c>
      <c r="B475" s="321" t="s">
        <v>65</v>
      </c>
      <c r="C475" s="9">
        <v>3729.6133482788941</v>
      </c>
      <c r="D475" s="9">
        <v>7331.0279919767445</v>
      </c>
      <c r="E475" s="9">
        <v>620.84564615251884</v>
      </c>
      <c r="F475" s="9">
        <v>355.52992905588326</v>
      </c>
      <c r="G475" s="9">
        <v>815.04966095785676</v>
      </c>
      <c r="H475" s="9">
        <v>272.91374902253204</v>
      </c>
      <c r="I475" s="9">
        <v>1845.5600502171385</v>
      </c>
      <c r="J475" s="9">
        <v>2429.2132352147951</v>
      </c>
      <c r="K475" s="9">
        <v>538.94551014703927</v>
      </c>
      <c r="L475" s="20" t="s">
        <v>131</v>
      </c>
    </row>
    <row r="476" spans="1:12" s="53" customFormat="1" ht="20.100000000000001" customHeight="1" x14ac:dyDescent="0.25">
      <c r="A476" s="327"/>
      <c r="B476" s="322"/>
      <c r="C476" s="10">
        <f>C475/14.06*19.53*1.039</f>
        <v>5382.6517276579225</v>
      </c>
      <c r="D476" s="10">
        <f t="shared" ref="D476:K476" si="267">D475/14.06*19.53*1.039</f>
        <v>10580.284550067905</v>
      </c>
      <c r="E476" s="10">
        <f t="shared" si="267"/>
        <v>896.01671213824181</v>
      </c>
      <c r="F476" s="10">
        <f t="shared" si="267"/>
        <v>513.10782329483607</v>
      </c>
      <c r="G476" s="10">
        <f t="shared" si="267"/>
        <v>1176.2957861855414</v>
      </c>
      <c r="H476" s="10">
        <f t="shared" si="267"/>
        <v>393.8745187502164</v>
      </c>
      <c r="I476" s="10">
        <f t="shared" si="267"/>
        <v>2663.5487556322619</v>
      </c>
      <c r="J476" s="10">
        <f t="shared" si="267"/>
        <v>3505.8885724474394</v>
      </c>
      <c r="K476" s="10">
        <f t="shared" si="267"/>
        <v>777.81681649255847</v>
      </c>
      <c r="L476" s="26" t="s">
        <v>131</v>
      </c>
    </row>
    <row r="477" spans="1:12" s="53" customFormat="1" ht="20.100000000000001" customHeight="1" x14ac:dyDescent="0.25">
      <c r="A477" s="327"/>
      <c r="B477" s="322"/>
      <c r="C477" s="16">
        <f>C476*0.0214</f>
        <v>115.18874697187954</v>
      </c>
      <c r="D477" s="16">
        <f t="shared" ref="D477:K477" si="268">D476*0.0214</f>
        <v>226.41808937145316</v>
      </c>
      <c r="E477" s="16">
        <f t="shared" si="268"/>
        <v>19.174757639758372</v>
      </c>
      <c r="F477" s="16">
        <f t="shared" si="268"/>
        <v>10.980507418509491</v>
      </c>
      <c r="G477" s="16">
        <f t="shared" si="268"/>
        <v>25.172729824370585</v>
      </c>
      <c r="H477" s="16">
        <f t="shared" si="268"/>
        <v>8.4289147012546302</v>
      </c>
      <c r="I477" s="16">
        <f t="shared" si="268"/>
        <v>56.999943370530403</v>
      </c>
      <c r="J477" s="16">
        <f t="shared" si="268"/>
        <v>75.026015450375198</v>
      </c>
      <c r="K477" s="16">
        <f t="shared" si="268"/>
        <v>16.645279872940751</v>
      </c>
      <c r="L477" s="15" t="s">
        <v>131</v>
      </c>
    </row>
    <row r="478" spans="1:12" s="53" customFormat="1" ht="20.100000000000001" hidden="1" customHeight="1" x14ac:dyDescent="0.25">
      <c r="A478" s="327"/>
      <c r="B478" s="322"/>
      <c r="C478" s="16">
        <f>12688/1634.9</f>
        <v>7.7607193100495442</v>
      </c>
      <c r="D478" s="16">
        <f>9470/545</f>
        <v>17.376146788990827</v>
      </c>
      <c r="E478" s="16">
        <f>4703/1634.9</f>
        <v>2.8766285399718634</v>
      </c>
      <c r="F478" s="16">
        <f>10450/2/1634.9</f>
        <v>3.1959141231879622</v>
      </c>
      <c r="G478" s="16">
        <f>7520/1634.9</f>
        <v>4.5996697045690862</v>
      </c>
      <c r="H478" s="16">
        <f>F478</f>
        <v>3.1959141231879622</v>
      </c>
      <c r="I478" s="16">
        <f>18509/1634.9</f>
        <v>11.321181723652822</v>
      </c>
      <c r="J478" s="16">
        <f>2429/1634.9</f>
        <v>1.4857177809040307</v>
      </c>
      <c r="K478" s="16">
        <f>J478</f>
        <v>1.4857177809040307</v>
      </c>
      <c r="L478" s="15" t="s">
        <v>131</v>
      </c>
    </row>
    <row r="479" spans="1:12" s="53" customFormat="1" ht="20.100000000000001" hidden="1" customHeight="1" thickBot="1" x14ac:dyDescent="0.3">
      <c r="A479" s="327"/>
      <c r="B479" s="322"/>
      <c r="C479" s="17">
        <f>(1/1634.9)*138569.04*1.2*P4</f>
        <v>125.97559358147768</v>
      </c>
      <c r="D479" s="18">
        <f>(1/545)*48498.96*1.2*P4</f>
        <v>132.26572673869626</v>
      </c>
      <c r="E479" s="18">
        <f>(1/1634.9)*92379.36*1.2*P4</f>
        <v>83.983729054318445</v>
      </c>
      <c r="F479" s="19">
        <f>(1/1634.9)*69284.52*1.2*P4</f>
        <v>62.987796790738841</v>
      </c>
      <c r="G479" s="68">
        <f>(1/1634.9)*69284.52*1.2*P4</f>
        <v>62.987796790738841</v>
      </c>
      <c r="H479" s="65">
        <f>(1/1634.9)*69284.52*1.2*P4</f>
        <v>62.987796790738841</v>
      </c>
      <c r="I479" s="68">
        <f>(1/1634.9)*91224.72*1.2*P4</f>
        <v>82.934025171164478</v>
      </c>
      <c r="J479" s="65">
        <f>(1/1634.9)*113164.92*1.2*P4</f>
        <v>102.88025355159013</v>
      </c>
      <c r="K479" s="67">
        <f>(1/1634.9)*48498.96*1.2*P4</f>
        <v>44.091272293467156</v>
      </c>
      <c r="L479" s="34" t="s">
        <v>131</v>
      </c>
    </row>
    <row r="480" spans="1:12" s="53" customFormat="1" ht="20.100000000000001" customHeight="1" thickBot="1" x14ac:dyDescent="0.3">
      <c r="A480" s="327"/>
      <c r="B480" s="323"/>
      <c r="C480" s="17">
        <f>C479+C478</f>
        <v>133.73631289152723</v>
      </c>
      <c r="D480" s="17">
        <f t="shared" ref="D480:K480" si="269">D479+D478</f>
        <v>149.6418735276871</v>
      </c>
      <c r="E480" s="17">
        <f t="shared" si="269"/>
        <v>86.860357594290306</v>
      </c>
      <c r="F480" s="17">
        <f t="shared" si="269"/>
        <v>66.183710913926802</v>
      </c>
      <c r="G480" s="17">
        <f t="shared" si="269"/>
        <v>67.587466495307922</v>
      </c>
      <c r="H480" s="17">
        <f t="shared" si="269"/>
        <v>66.183710913926802</v>
      </c>
      <c r="I480" s="17">
        <f t="shared" si="269"/>
        <v>94.255206894817306</v>
      </c>
      <c r="J480" s="17">
        <f t="shared" si="269"/>
        <v>104.36597133249415</v>
      </c>
      <c r="K480" s="17">
        <f t="shared" si="269"/>
        <v>45.576990074371189</v>
      </c>
      <c r="L480" s="34" t="s">
        <v>131</v>
      </c>
    </row>
    <row r="481" spans="1:12" s="53" customFormat="1" ht="20.100000000000001" customHeight="1" thickBot="1" x14ac:dyDescent="0.3">
      <c r="A481" s="328"/>
      <c r="B481" s="265" t="s">
        <v>212</v>
      </c>
      <c r="C481" s="268">
        <f>SUM(C476:C479)</f>
        <v>5631.5767875213287</v>
      </c>
      <c r="D481" s="268">
        <f t="shared" ref="D481:K481" si="270">SUM(D476:D479)</f>
        <v>10956.344512967045</v>
      </c>
      <c r="E481" s="268">
        <f t="shared" si="270"/>
        <v>1002.0518273722905</v>
      </c>
      <c r="F481" s="268">
        <f t="shared" si="270"/>
        <v>590.27204162727242</v>
      </c>
      <c r="G481" s="268">
        <f t="shared" si="270"/>
        <v>1269.0559825052201</v>
      </c>
      <c r="H481" s="268">
        <f t="shared" si="270"/>
        <v>468.48714436539785</v>
      </c>
      <c r="I481" s="268">
        <f t="shared" si="270"/>
        <v>2814.8039058976096</v>
      </c>
      <c r="J481" s="268">
        <f t="shared" si="270"/>
        <v>3685.2805592303089</v>
      </c>
      <c r="K481" s="268">
        <f t="shared" si="270"/>
        <v>840.03908643987029</v>
      </c>
      <c r="L481" s="34" t="s">
        <v>131</v>
      </c>
    </row>
    <row r="482" spans="1:12" s="53" customFormat="1" ht="20.100000000000001" hidden="1" customHeight="1" thickBot="1" x14ac:dyDescent="0.3">
      <c r="A482" s="327" t="s">
        <v>990</v>
      </c>
      <c r="B482" s="321" t="s">
        <v>165</v>
      </c>
      <c r="C482" s="9">
        <v>4089.7884653763435</v>
      </c>
      <c r="D482" s="9">
        <v>7467.4225679316896</v>
      </c>
      <c r="E482" s="9">
        <v>589.51925892473116</v>
      </c>
      <c r="F482" s="9">
        <v>410.5114443010753</v>
      </c>
      <c r="G482" s="9">
        <v>959.9330713978494</v>
      </c>
      <c r="H482" s="9">
        <v>476.4461574193549</v>
      </c>
      <c r="I482" s="9">
        <v>1524.6300217204302</v>
      </c>
      <c r="J482" s="9">
        <v>1825.8525163440861</v>
      </c>
      <c r="K482" s="9">
        <v>421.60857591397854</v>
      </c>
      <c r="L482" s="20" t="s">
        <v>131</v>
      </c>
    </row>
    <row r="483" spans="1:12" s="53" customFormat="1" ht="20.100000000000001" customHeight="1" x14ac:dyDescent="0.25">
      <c r="A483" s="327"/>
      <c r="B483" s="322"/>
      <c r="C483" s="10">
        <f>C482/14.06*19.53*1.039</f>
        <v>5902.4635781808802</v>
      </c>
      <c r="D483" s="10">
        <f t="shared" ref="D483:K483" si="271">D482/14.06*19.53*1.039</f>
        <v>10777.13189893474</v>
      </c>
      <c r="E483" s="10">
        <f t="shared" si="271"/>
        <v>850.80585069311519</v>
      </c>
      <c r="F483" s="10">
        <f t="shared" si="271"/>
        <v>592.45823321342823</v>
      </c>
      <c r="G483" s="10">
        <f t="shared" si="271"/>
        <v>1385.3943888258605</v>
      </c>
      <c r="H483" s="10">
        <f t="shared" si="271"/>
        <v>687.61651487351344</v>
      </c>
      <c r="I483" s="10">
        <f t="shared" si="271"/>
        <v>2200.3761929476391</v>
      </c>
      <c r="J483" s="10">
        <f t="shared" si="271"/>
        <v>2635.1064530813514</v>
      </c>
      <c r="K483" s="10">
        <f t="shared" si="271"/>
        <v>608.47383297413944</v>
      </c>
      <c r="L483" s="26" t="s">
        <v>131</v>
      </c>
    </row>
    <row r="484" spans="1:12" s="53" customFormat="1" ht="20.100000000000001" customHeight="1" x14ac:dyDescent="0.25">
      <c r="A484" s="327"/>
      <c r="B484" s="322"/>
      <c r="C484" s="16">
        <f>C483*0.0214</f>
        <v>126.31272057307083</v>
      </c>
      <c r="D484" s="16">
        <f t="shared" ref="D484:K484" si="272">D483*0.0214</f>
        <v>230.63062263720343</v>
      </c>
      <c r="E484" s="16">
        <f t="shared" si="272"/>
        <v>18.207245204832663</v>
      </c>
      <c r="F484" s="16">
        <f t="shared" si="272"/>
        <v>12.678606190767363</v>
      </c>
      <c r="G484" s="16">
        <f t="shared" si="272"/>
        <v>29.647439920873413</v>
      </c>
      <c r="H484" s="16">
        <f t="shared" si="272"/>
        <v>14.714993418293187</v>
      </c>
      <c r="I484" s="16">
        <f t="shared" si="272"/>
        <v>47.088050529079474</v>
      </c>
      <c r="J484" s="16">
        <f t="shared" si="272"/>
        <v>56.391278095940919</v>
      </c>
      <c r="K484" s="16">
        <f t="shared" si="272"/>
        <v>13.021340025646584</v>
      </c>
      <c r="L484" s="15" t="s">
        <v>131</v>
      </c>
    </row>
    <row r="485" spans="1:12" s="53" customFormat="1" ht="20.100000000000001" hidden="1" customHeight="1" x14ac:dyDescent="0.25">
      <c r="A485" s="327"/>
      <c r="B485" s="322"/>
      <c r="C485" s="16">
        <f>12001/1716</f>
        <v>6.9935897435897436</v>
      </c>
      <c r="D485" s="16">
        <f>8960/430</f>
        <v>20.837209302325583</v>
      </c>
      <c r="E485" s="16">
        <f>4926/1716</f>
        <v>2.8706293706293708</v>
      </c>
      <c r="F485" s="16">
        <f>10959/2/1716</f>
        <v>3.1931818181818183</v>
      </c>
      <c r="G485" s="16">
        <f>7883/1716</f>
        <v>4.5938228438228439</v>
      </c>
      <c r="H485" s="16">
        <f>F485</f>
        <v>3.1931818181818183</v>
      </c>
      <c r="I485" s="16">
        <f>19417/1716</f>
        <v>11.315268065268064</v>
      </c>
      <c r="J485" s="16">
        <f>2306/1716</f>
        <v>1.3438228438228439</v>
      </c>
      <c r="K485" s="16">
        <f>J485</f>
        <v>1.3438228438228439</v>
      </c>
      <c r="L485" s="15" t="s">
        <v>131</v>
      </c>
    </row>
    <row r="486" spans="1:12" s="53" customFormat="1" ht="20.100000000000001" hidden="1" customHeight="1" thickBot="1" x14ac:dyDescent="0.3">
      <c r="A486" s="327"/>
      <c r="B486" s="322"/>
      <c r="C486" s="18">
        <f>113*P4</f>
        <v>139.96150263157892</v>
      </c>
      <c r="D486" s="19">
        <f>112.42*P4</f>
        <v>139.24311615789472</v>
      </c>
      <c r="E486" s="18">
        <f>108.224596629616*P4</f>
        <v>134.04670058387228</v>
      </c>
      <c r="F486" s="19">
        <f>81.1684474722123*P4</f>
        <v>100.53502543790459</v>
      </c>
      <c r="G486" s="19">
        <f>81.1684474722123*P4</f>
        <v>100.53502543790459</v>
      </c>
      <c r="H486" s="19">
        <f>81.1684474722123*P4</f>
        <v>100.53502543790459</v>
      </c>
      <c r="I486" s="19">
        <f>106.872008605235*P4</f>
        <v>132.37138861631615</v>
      </c>
      <c r="J486" s="19">
        <f>132.575569738257*P4</f>
        <v>164.20775179472685</v>
      </c>
      <c r="K486" s="19">
        <f>56.818352097526*P4</f>
        <v>70.375061386016498</v>
      </c>
      <c r="L486" s="20" t="s">
        <v>131</v>
      </c>
    </row>
    <row r="487" spans="1:12" s="53" customFormat="1" ht="20.100000000000001" customHeight="1" thickBot="1" x14ac:dyDescent="0.3">
      <c r="A487" s="327"/>
      <c r="B487" s="323"/>
      <c r="C487" s="18">
        <f>C486+C485</f>
        <v>146.95509237516868</v>
      </c>
      <c r="D487" s="18">
        <f t="shared" ref="D487:K487" si="273">D486+D485</f>
        <v>160.08032546022031</v>
      </c>
      <c r="E487" s="18">
        <f t="shared" si="273"/>
        <v>136.91732995450164</v>
      </c>
      <c r="F487" s="18">
        <f t="shared" si="273"/>
        <v>103.72820725608641</v>
      </c>
      <c r="G487" s="18">
        <f t="shared" si="273"/>
        <v>105.12884828172744</v>
      </c>
      <c r="H487" s="18">
        <f t="shared" si="273"/>
        <v>103.72820725608641</v>
      </c>
      <c r="I487" s="18">
        <f t="shared" si="273"/>
        <v>143.68665668158422</v>
      </c>
      <c r="J487" s="18">
        <f t="shared" si="273"/>
        <v>165.55157463854968</v>
      </c>
      <c r="K487" s="18">
        <f t="shared" si="273"/>
        <v>71.718884229839347</v>
      </c>
      <c r="L487" s="34" t="s">
        <v>131</v>
      </c>
    </row>
    <row r="488" spans="1:12" s="53" customFormat="1" ht="20.100000000000001" customHeight="1" thickBot="1" x14ac:dyDescent="0.3">
      <c r="A488" s="328"/>
      <c r="B488" s="265" t="s">
        <v>212</v>
      </c>
      <c r="C488" s="36">
        <f>SUM(C483:C486)</f>
        <v>6175.7313911291194</v>
      </c>
      <c r="D488" s="36">
        <f t="shared" ref="D488:K488" si="274">SUM(D483:D486)</f>
        <v>11167.842847032165</v>
      </c>
      <c r="E488" s="36">
        <f t="shared" si="274"/>
        <v>1005.9304258524495</v>
      </c>
      <c r="F488" s="36">
        <f t="shared" si="274"/>
        <v>708.86504666028202</v>
      </c>
      <c r="G488" s="36">
        <f t="shared" si="274"/>
        <v>1520.1706770284613</v>
      </c>
      <c r="H488" s="36">
        <f t="shared" si="274"/>
        <v>806.05971554789301</v>
      </c>
      <c r="I488" s="36">
        <f t="shared" si="274"/>
        <v>2391.1509001583026</v>
      </c>
      <c r="J488" s="36">
        <f t="shared" si="274"/>
        <v>2857.0493058158418</v>
      </c>
      <c r="K488" s="36">
        <f t="shared" si="274"/>
        <v>693.21405722962538</v>
      </c>
      <c r="L488" s="34" t="s">
        <v>131</v>
      </c>
    </row>
    <row r="489" spans="1:12" s="53" customFormat="1" ht="20.100000000000001" hidden="1" customHeight="1" thickBot="1" x14ac:dyDescent="0.3">
      <c r="A489" s="327" t="s">
        <v>991</v>
      </c>
      <c r="B489" s="321" t="s">
        <v>166</v>
      </c>
      <c r="C489" s="9">
        <v>5964.1140371707315</v>
      </c>
      <c r="D489" s="9">
        <v>6670.8283776988637</v>
      </c>
      <c r="E489" s="9">
        <v>885.12603643902435</v>
      </c>
      <c r="F489" s="9">
        <v>730.78331473170726</v>
      </c>
      <c r="G489" s="9">
        <v>1051.5568017073172</v>
      </c>
      <c r="H489" s="9">
        <v>405.34742004878046</v>
      </c>
      <c r="I489" s="9">
        <v>3861.8868160975608</v>
      </c>
      <c r="J489" s="9">
        <v>2199.5453606341466</v>
      </c>
      <c r="K489" s="9">
        <v>2069.0695312682928</v>
      </c>
      <c r="L489" s="20" t="s">
        <v>131</v>
      </c>
    </row>
    <row r="490" spans="1:12" s="53" customFormat="1" ht="20.100000000000001" customHeight="1" x14ac:dyDescent="0.25">
      <c r="A490" s="327"/>
      <c r="B490" s="322"/>
      <c r="C490" s="10">
        <f>C489/14.06*19.53*1.039</f>
        <v>8607.5273033169433</v>
      </c>
      <c r="D490" s="10">
        <f t="shared" ref="D490:K490" si="275">D489/14.06*19.53*1.039</f>
        <v>9627.4714130085849</v>
      </c>
      <c r="E490" s="10">
        <f t="shared" si="275"/>
        <v>1277.4313968583681</v>
      </c>
      <c r="F490" s="10">
        <f t="shared" si="275"/>
        <v>1054.6809291637228</v>
      </c>
      <c r="G490" s="10">
        <f t="shared" si="275"/>
        <v>1517.6275680298943</v>
      </c>
      <c r="H490" s="10">
        <f t="shared" si="275"/>
        <v>585.00541130734257</v>
      </c>
      <c r="I490" s="10">
        <f t="shared" si="275"/>
        <v>5573.5514117782632</v>
      </c>
      <c r="J490" s="10">
        <f t="shared" si="275"/>
        <v>3174.4273547666498</v>
      </c>
      <c r="K490" s="10">
        <f t="shared" si="275"/>
        <v>2986.1220580050413</v>
      </c>
      <c r="L490" s="26" t="s">
        <v>131</v>
      </c>
    </row>
    <row r="491" spans="1:12" s="53" customFormat="1" ht="20.100000000000001" customHeight="1" x14ac:dyDescent="0.25">
      <c r="A491" s="327"/>
      <c r="B491" s="322"/>
      <c r="C491" s="16">
        <f>C490*0.0214</f>
        <v>184.20108429098258</v>
      </c>
      <c r="D491" s="16">
        <f t="shared" ref="D491:K491" si="276">D490*0.0214</f>
        <v>206.0278882383837</v>
      </c>
      <c r="E491" s="16">
        <f t="shared" si="276"/>
        <v>27.337031892769076</v>
      </c>
      <c r="F491" s="16">
        <f t="shared" si="276"/>
        <v>22.570171884103665</v>
      </c>
      <c r="G491" s="16">
        <f t="shared" si="276"/>
        <v>32.477229955839739</v>
      </c>
      <c r="H491" s="16">
        <f t="shared" si="276"/>
        <v>12.519115801977131</v>
      </c>
      <c r="I491" s="16">
        <f t="shared" si="276"/>
        <v>119.27400021205483</v>
      </c>
      <c r="J491" s="16">
        <f t="shared" si="276"/>
        <v>67.932745392006296</v>
      </c>
      <c r="K491" s="16">
        <f t="shared" si="276"/>
        <v>63.903012041307882</v>
      </c>
      <c r="L491" s="15" t="s">
        <v>131</v>
      </c>
    </row>
    <row r="492" spans="1:12" s="53" customFormat="1" ht="20.100000000000001" hidden="1" customHeight="1" x14ac:dyDescent="0.25">
      <c r="A492" s="327"/>
      <c r="B492" s="322"/>
      <c r="C492" s="16">
        <f>18010/3088.8</f>
        <v>5.8307433307433305</v>
      </c>
      <c r="D492" s="16">
        <f>13436/618</f>
        <v>21.741100323624597</v>
      </c>
      <c r="E492" s="16">
        <f>8768/3088.8</f>
        <v>2.8386428386428384</v>
      </c>
      <c r="F492" s="16">
        <f>33468/2/3088.8</f>
        <v>5.4176379176379177</v>
      </c>
      <c r="G492" s="16">
        <f>30700/3088.8</f>
        <v>9.939134939134938</v>
      </c>
      <c r="H492" s="16">
        <f>F492</f>
        <v>5.4176379176379177</v>
      </c>
      <c r="I492" s="16">
        <f>45925/3088.8</f>
        <v>14.868233618233617</v>
      </c>
      <c r="J492" s="16">
        <f>3426/3088.8</f>
        <v>1.109168609168609</v>
      </c>
      <c r="K492" s="16">
        <f>J492</f>
        <v>1.109168609168609</v>
      </c>
      <c r="L492" s="15" t="s">
        <v>131</v>
      </c>
    </row>
    <row r="493" spans="1:12" s="53" customFormat="1" ht="20.100000000000001" hidden="1" customHeight="1" thickBot="1" x14ac:dyDescent="0.3">
      <c r="A493" s="327"/>
      <c r="B493" s="322"/>
      <c r="C493" s="18">
        <f>118*P4</f>
        <v>146.15448947368421</v>
      </c>
      <c r="D493" s="19">
        <f>105.2*P4</f>
        <v>130.30044315789473</v>
      </c>
      <c r="E493" s="18">
        <f>102.051141784129*P4</f>
        <v>126.40027565818589</v>
      </c>
      <c r="F493" s="19">
        <f>76.5383563380969*P4</f>
        <v>94.800206743639606</v>
      </c>
      <c r="G493" s="19">
        <f>76.5383563380969*P4</f>
        <v>94.800206743639606</v>
      </c>
      <c r="H493" s="19">
        <f>76.5383563380969*P4</f>
        <v>94.800206743639606</v>
      </c>
      <c r="I493" s="19">
        <f>100.775383114666*P4</f>
        <v>124.82012432744868</v>
      </c>
      <c r="J493" s="19">
        <f>125.012409891235*P4</f>
        <v>154.84004191125763</v>
      </c>
      <c r="K493" s="19">
        <f>53.5764912451836*P4</f>
        <v>66.359701065517967</v>
      </c>
      <c r="L493" s="20" t="s">
        <v>131</v>
      </c>
    </row>
    <row r="494" spans="1:12" s="53" customFormat="1" ht="20.100000000000001" customHeight="1" thickBot="1" x14ac:dyDescent="0.3">
      <c r="A494" s="327"/>
      <c r="B494" s="323"/>
      <c r="C494" s="18">
        <f>C493+C492</f>
        <v>151.98523280442754</v>
      </c>
      <c r="D494" s="18">
        <f t="shared" ref="D494:K494" si="277">D493+D492</f>
        <v>152.04154348151934</v>
      </c>
      <c r="E494" s="18">
        <f t="shared" si="277"/>
        <v>129.23891849682872</v>
      </c>
      <c r="F494" s="18">
        <f t="shared" si="277"/>
        <v>100.21784466127752</v>
      </c>
      <c r="G494" s="18">
        <f t="shared" si="277"/>
        <v>104.73934168277455</v>
      </c>
      <c r="H494" s="18">
        <f t="shared" si="277"/>
        <v>100.21784466127752</v>
      </c>
      <c r="I494" s="18">
        <f t="shared" si="277"/>
        <v>139.6883579456823</v>
      </c>
      <c r="J494" s="18">
        <f t="shared" si="277"/>
        <v>155.94921052042625</v>
      </c>
      <c r="K494" s="18">
        <f t="shared" si="277"/>
        <v>67.468869674686573</v>
      </c>
      <c r="L494" s="34" t="s">
        <v>131</v>
      </c>
    </row>
    <row r="495" spans="1:12" s="53" customFormat="1" ht="20.100000000000001" customHeight="1" thickBot="1" x14ac:dyDescent="0.3">
      <c r="A495" s="328"/>
      <c r="B495" s="265" t="s">
        <v>212</v>
      </c>
      <c r="C495" s="36">
        <f>SUM(C490:C493)</f>
        <v>8943.7136204123526</v>
      </c>
      <c r="D495" s="36">
        <f t="shared" ref="D495:K495" si="278">SUM(D490:D493)</f>
        <v>9985.5408447284899</v>
      </c>
      <c r="E495" s="36">
        <f t="shared" si="278"/>
        <v>1434.0073472479658</v>
      </c>
      <c r="F495" s="36">
        <f t="shared" si="278"/>
        <v>1177.468945709104</v>
      </c>
      <c r="G495" s="36">
        <f t="shared" si="278"/>
        <v>1654.8441396685084</v>
      </c>
      <c r="H495" s="36">
        <f t="shared" si="278"/>
        <v>697.74237177059717</v>
      </c>
      <c r="I495" s="36">
        <f t="shared" si="278"/>
        <v>5832.5137699360002</v>
      </c>
      <c r="J495" s="36">
        <f t="shared" si="278"/>
        <v>3398.3093106790825</v>
      </c>
      <c r="K495" s="36">
        <f t="shared" si="278"/>
        <v>3117.493939721036</v>
      </c>
      <c r="L495" s="34" t="s">
        <v>131</v>
      </c>
    </row>
    <row r="496" spans="1:12" s="53" customFormat="1" ht="20.100000000000001" customHeight="1" thickBot="1" x14ac:dyDescent="0.3">
      <c r="A496" s="342" t="s">
        <v>992</v>
      </c>
      <c r="B496" s="343"/>
      <c r="C496" s="343"/>
      <c r="D496" s="343"/>
      <c r="E496" s="343"/>
      <c r="F496" s="343"/>
      <c r="G496" s="343"/>
      <c r="H496" s="343"/>
      <c r="I496" s="343"/>
      <c r="J496" s="343"/>
      <c r="K496" s="343"/>
      <c r="L496" s="344"/>
    </row>
    <row r="497" spans="1:12" s="53" customFormat="1" ht="20.100000000000001" hidden="1" customHeight="1" thickBot="1" x14ac:dyDescent="0.3">
      <c r="A497" s="327" t="s">
        <v>993</v>
      </c>
      <c r="B497" s="321" t="s">
        <v>137</v>
      </c>
      <c r="C497" s="9">
        <v>5742.1653466577091</v>
      </c>
      <c r="D497" s="9">
        <v>6296.3137020000004</v>
      </c>
      <c r="E497" s="9">
        <v>940.80569969768237</v>
      </c>
      <c r="F497" s="9">
        <v>537.14093802485718</v>
      </c>
      <c r="G497" s="9">
        <v>1316.6309088008065</v>
      </c>
      <c r="H497" s="9">
        <v>551.66877258985562</v>
      </c>
      <c r="I497" s="9">
        <v>3123.3211965065502</v>
      </c>
      <c r="J497" s="9">
        <v>2975.4066525025191</v>
      </c>
      <c r="K497" s="9" t="s">
        <v>131</v>
      </c>
      <c r="L497" s="20" t="s">
        <v>131</v>
      </c>
    </row>
    <row r="498" spans="1:12" s="53" customFormat="1" ht="20.100000000000001" customHeight="1" x14ac:dyDescent="0.25">
      <c r="A498" s="327"/>
      <c r="B498" s="322"/>
      <c r="C498" s="10">
        <f>C497/13.19*19.53*1.039</f>
        <v>8833.8229188638252</v>
      </c>
      <c r="D498" s="10">
        <f t="shared" ref="D498:J498" si="279">D497/13.19*19.53*1.039</f>
        <v>9686.332058943317</v>
      </c>
      <c r="E498" s="10">
        <f t="shared" si="279"/>
        <v>1447.3478993468136</v>
      </c>
      <c r="F498" s="10">
        <f t="shared" si="279"/>
        <v>826.34470491970092</v>
      </c>
      <c r="G498" s="10">
        <f t="shared" si="279"/>
        <v>2025.5223588465551</v>
      </c>
      <c r="H498" s="10">
        <f t="shared" si="279"/>
        <v>848.69451726295642</v>
      </c>
      <c r="I498" s="10">
        <f t="shared" si="279"/>
        <v>4804.9585309716504</v>
      </c>
      <c r="J498" s="10">
        <f t="shared" si="279"/>
        <v>4577.4048452149955</v>
      </c>
      <c r="K498" s="10" t="s">
        <v>131</v>
      </c>
      <c r="L498" s="26" t="s">
        <v>131</v>
      </c>
    </row>
    <row r="499" spans="1:12" s="53" customFormat="1" ht="20.100000000000001" customHeight="1" x14ac:dyDescent="0.25">
      <c r="A499" s="327"/>
      <c r="B499" s="322"/>
      <c r="C499" s="16">
        <f>C498*0.0214</f>
        <v>189.04381046368584</v>
      </c>
      <c r="D499" s="16">
        <f t="shared" ref="D499:J499" si="280">D498*0.0214</f>
        <v>207.28750606138698</v>
      </c>
      <c r="E499" s="16">
        <f t="shared" si="280"/>
        <v>30.973245046021809</v>
      </c>
      <c r="F499" s="16">
        <f t="shared" si="280"/>
        <v>17.6837766852816</v>
      </c>
      <c r="G499" s="16">
        <f t="shared" si="280"/>
        <v>43.346178479316279</v>
      </c>
      <c r="H499" s="16">
        <f t="shared" si="280"/>
        <v>18.162062669427268</v>
      </c>
      <c r="I499" s="16">
        <f t="shared" si="280"/>
        <v>102.82611256279331</v>
      </c>
      <c r="J499" s="16">
        <f t="shared" si="280"/>
        <v>97.956463687600902</v>
      </c>
      <c r="K499" s="16" t="s">
        <v>131</v>
      </c>
      <c r="L499" s="15" t="s">
        <v>131</v>
      </c>
    </row>
    <row r="500" spans="1:12" s="53" customFormat="1" ht="20.100000000000001" hidden="1" customHeight="1" x14ac:dyDescent="0.25">
      <c r="A500" s="327"/>
      <c r="B500" s="322"/>
      <c r="C500" s="16">
        <f>5250/595.4</f>
        <v>8.8176016123614378</v>
      </c>
      <c r="D500" s="16">
        <f>3962/328</f>
        <v>12.079268292682928</v>
      </c>
      <c r="E500" s="16">
        <f>1891/595.4</f>
        <v>3.1760161236143771</v>
      </c>
      <c r="F500" s="16">
        <f>2918/2/595.4</f>
        <v>2.4504534766543502</v>
      </c>
      <c r="G500" s="16">
        <f>2651/595.4</f>
        <v>4.4524689284514611</v>
      </c>
      <c r="H500" s="16">
        <f>F500</f>
        <v>2.4504534766543502</v>
      </c>
      <c r="I500" s="16">
        <f>4252/595.4</f>
        <v>7.1414175344306354</v>
      </c>
      <c r="J500" s="16">
        <f>1144/595.4</f>
        <v>1.9213973799126638</v>
      </c>
      <c r="K500" s="16" t="s">
        <v>131</v>
      </c>
      <c r="L500" s="15" t="s">
        <v>131</v>
      </c>
    </row>
    <row r="501" spans="1:12" s="53" customFormat="1" ht="20.100000000000001" hidden="1" customHeight="1" thickBot="1" x14ac:dyDescent="0.3">
      <c r="A501" s="327"/>
      <c r="B501" s="322"/>
      <c r="C501" s="19">
        <f>120.05*P4</f>
        <v>148.69361407894735</v>
      </c>
      <c r="D501" s="17">
        <f>115.3*P4</f>
        <v>142.81027657894734</v>
      </c>
      <c r="E501" s="19">
        <f>(1/595.4)*56248*1.2*P4</f>
        <v>140.41375501299436</v>
      </c>
      <c r="F501" s="19">
        <f>(1/595.4)*42186*1.2*P4</f>
        <v>105.31031625974575</v>
      </c>
      <c r="G501" s="19">
        <f>(1/595.4)*42186*1.2*P4</f>
        <v>105.31031625974575</v>
      </c>
      <c r="H501" s="19">
        <f>(1/595.4)*42186*1.2*P4</f>
        <v>105.31031625974575</v>
      </c>
      <c r="I501" s="19">
        <f>(1/595.4)*55545*1.2*P4</f>
        <v>138.65883270866112</v>
      </c>
      <c r="J501" s="19">
        <f>(1/595.4)*68904*1.2*P4</f>
        <v>172.0073491575765</v>
      </c>
      <c r="K501" s="18" t="s">
        <v>131</v>
      </c>
      <c r="L501" s="20" t="s">
        <v>131</v>
      </c>
    </row>
    <row r="502" spans="1:12" s="53" customFormat="1" ht="20.100000000000001" customHeight="1" thickBot="1" x14ac:dyDescent="0.3">
      <c r="A502" s="327"/>
      <c r="B502" s="323"/>
      <c r="C502" s="19">
        <f>C501+C500</f>
        <v>157.51121569130879</v>
      </c>
      <c r="D502" s="19">
        <f t="shared" ref="D502:J502" si="281">D501+D500</f>
        <v>154.88954487163028</v>
      </c>
      <c r="E502" s="19">
        <f t="shared" si="281"/>
        <v>143.58977113660873</v>
      </c>
      <c r="F502" s="19">
        <f t="shared" si="281"/>
        <v>107.76076973640009</v>
      </c>
      <c r="G502" s="19">
        <f t="shared" si="281"/>
        <v>109.76278518819721</v>
      </c>
      <c r="H502" s="19">
        <f t="shared" si="281"/>
        <v>107.76076973640009</v>
      </c>
      <c r="I502" s="19">
        <f t="shared" si="281"/>
        <v>145.80025024309177</v>
      </c>
      <c r="J502" s="19">
        <f t="shared" si="281"/>
        <v>173.92874653748916</v>
      </c>
      <c r="K502" s="18" t="s">
        <v>131</v>
      </c>
      <c r="L502" s="34" t="s">
        <v>131</v>
      </c>
    </row>
    <row r="503" spans="1:12" s="53" customFormat="1" ht="20.100000000000001" customHeight="1" thickBot="1" x14ac:dyDescent="0.3">
      <c r="A503" s="328"/>
      <c r="B503" s="265" t="s">
        <v>212</v>
      </c>
      <c r="C503" s="75">
        <f>SUM(C498:C501)</f>
        <v>9180.3779450188194</v>
      </c>
      <c r="D503" s="75">
        <f t="shared" ref="D503:J503" si="282">SUM(D498:D501)</f>
        <v>10048.509109876335</v>
      </c>
      <c r="E503" s="75">
        <f t="shared" si="282"/>
        <v>1621.9109155294441</v>
      </c>
      <c r="F503" s="75">
        <f t="shared" si="282"/>
        <v>951.78925134138262</v>
      </c>
      <c r="G503" s="75">
        <f t="shared" si="282"/>
        <v>2178.6313225140684</v>
      </c>
      <c r="H503" s="75">
        <f t="shared" si="282"/>
        <v>974.61734966878385</v>
      </c>
      <c r="I503" s="75">
        <f t="shared" si="282"/>
        <v>5053.5848937775354</v>
      </c>
      <c r="J503" s="75">
        <f t="shared" si="282"/>
        <v>4849.2900554400858</v>
      </c>
      <c r="K503" s="36" t="s">
        <v>131</v>
      </c>
      <c r="L503" s="37" t="s">
        <v>131</v>
      </c>
    </row>
    <row r="504" spans="1:12" s="53" customFormat="1" ht="20.100000000000001" hidden="1" customHeight="1" x14ac:dyDescent="0.25">
      <c r="A504" s="327" t="s">
        <v>994</v>
      </c>
      <c r="B504" s="321" t="s">
        <v>132</v>
      </c>
      <c r="C504" s="78">
        <v>5243.4436265471613</v>
      </c>
      <c r="D504" s="78">
        <v>6685.2324149999995</v>
      </c>
      <c r="E504" s="78">
        <v>858.97181599438682</v>
      </c>
      <c r="F504" s="78">
        <v>490.42554103794504</v>
      </c>
      <c r="G504" s="78">
        <v>1201.9529816120137</v>
      </c>
      <c r="H504" s="78">
        <v>506.68132923366022</v>
      </c>
      <c r="I504" s="78">
        <v>2849.6584665951577</v>
      </c>
      <c r="J504" s="78">
        <v>2649.5243751008484</v>
      </c>
      <c r="K504" s="78">
        <v>1052.572147734752</v>
      </c>
      <c r="L504" s="8" t="s">
        <v>131</v>
      </c>
    </row>
    <row r="505" spans="1:12" s="53" customFormat="1" ht="20.100000000000001" customHeight="1" x14ac:dyDescent="0.25">
      <c r="A505" s="327"/>
      <c r="B505" s="322"/>
      <c r="C505" s="10">
        <f>C504/13.19*19.53*1.039</f>
        <v>8066.5828456025965</v>
      </c>
      <c r="D505" s="10">
        <f t="shared" ref="D505:K505" si="283">D504/13.19*19.53*1.039</f>
        <v>10284.649737565052</v>
      </c>
      <c r="E505" s="10">
        <f t="shared" si="283"/>
        <v>1321.4535731204564</v>
      </c>
      <c r="F505" s="10">
        <f t="shared" si="283"/>
        <v>754.47712193430152</v>
      </c>
      <c r="G505" s="10">
        <f t="shared" si="283"/>
        <v>1849.1003228496627</v>
      </c>
      <c r="H505" s="10">
        <f t="shared" si="283"/>
        <v>779.48524093789126</v>
      </c>
      <c r="I505" s="10">
        <f t="shared" si="283"/>
        <v>4383.9521771686859</v>
      </c>
      <c r="J505" s="10">
        <f t="shared" si="283"/>
        <v>4076.0632506825345</v>
      </c>
      <c r="K505" s="10">
        <f t="shared" si="283"/>
        <v>1619.2908774090097</v>
      </c>
      <c r="L505" s="26" t="s">
        <v>131</v>
      </c>
    </row>
    <row r="506" spans="1:12" s="53" customFormat="1" ht="20.100000000000001" customHeight="1" x14ac:dyDescent="0.25">
      <c r="A506" s="327"/>
      <c r="B506" s="322"/>
      <c r="C506" s="16">
        <f>C505*0.0214</f>
        <v>172.62487289589555</v>
      </c>
      <c r="D506" s="16">
        <f t="shared" ref="D506:K506" si="284">D505*0.0214</f>
        <v>220.0915043838921</v>
      </c>
      <c r="E506" s="16">
        <f t="shared" si="284"/>
        <v>28.279106464777765</v>
      </c>
      <c r="F506" s="16">
        <f t="shared" si="284"/>
        <v>16.145810409394052</v>
      </c>
      <c r="G506" s="16">
        <f t="shared" si="284"/>
        <v>39.570746908982777</v>
      </c>
      <c r="H506" s="16">
        <f t="shared" si="284"/>
        <v>16.68098415607087</v>
      </c>
      <c r="I506" s="16">
        <f t="shared" si="284"/>
        <v>93.81657659140987</v>
      </c>
      <c r="J506" s="16">
        <f t="shared" si="284"/>
        <v>87.227753564606232</v>
      </c>
      <c r="K506" s="16">
        <f t="shared" si="284"/>
        <v>34.652824776552805</v>
      </c>
      <c r="L506" s="15" t="s">
        <v>131</v>
      </c>
    </row>
    <row r="507" spans="1:12" s="53" customFormat="1" ht="20.100000000000001" hidden="1" customHeight="1" x14ac:dyDescent="0.25">
      <c r="A507" s="327"/>
      <c r="B507" s="322"/>
      <c r="C507" s="35">
        <f>5728/652.6</f>
        <v>8.7771988967208081</v>
      </c>
      <c r="D507" s="35">
        <f>4317/326.3</f>
        <v>13.230156297885381</v>
      </c>
      <c r="E507" s="35">
        <f>2050/652.6</f>
        <v>3.1412810297272449</v>
      </c>
      <c r="F507" s="35">
        <f>3173/2/652.6</f>
        <v>2.4310450505669627</v>
      </c>
      <c r="G507" s="35">
        <f>2881/652.6</f>
        <v>4.4146490959239966</v>
      </c>
      <c r="H507" s="35">
        <f>F507</f>
        <v>2.4310450505669627</v>
      </c>
      <c r="I507" s="35">
        <f>4635/652.6</f>
        <v>7.1023597916028196</v>
      </c>
      <c r="J507" s="35">
        <f>1230/652.6</f>
        <v>1.8847686178363467</v>
      </c>
      <c r="K507" s="35">
        <f>J507</f>
        <v>1.8847686178363467</v>
      </c>
      <c r="L507" s="15" t="s">
        <v>131</v>
      </c>
    </row>
    <row r="508" spans="1:12" s="53" customFormat="1" ht="20.100000000000001" hidden="1" customHeight="1" thickBot="1" x14ac:dyDescent="0.3">
      <c r="A508" s="327"/>
      <c r="B508" s="322"/>
      <c r="C508" s="19">
        <f>(1/652.6)*85298.52*1.2*P4</f>
        <v>194.27003812849006</v>
      </c>
      <c r="D508" s="17">
        <f>(1/326.3)*29854.38*1.2*P4</f>
        <v>135.98856207358421</v>
      </c>
      <c r="E508" s="19">
        <f>(1/652.6)*56865*1.2*P4</f>
        <v>129.51181003113052</v>
      </c>
      <c r="F508" s="19">
        <f>(1/652.6)*42649.26*1.2*P4</f>
        <v>97.135019064245029</v>
      </c>
      <c r="G508" s="19">
        <f>(1/652.6)*42649.26*1.2*P4</f>
        <v>97.135019064245029</v>
      </c>
      <c r="H508" s="19">
        <f>(1/652.6)*42649.26*1.2*P4</f>
        <v>97.135019064245029</v>
      </c>
      <c r="I508" s="19">
        <f>(1/652.6)*56154.06*1.2*P4</f>
        <v>127.89262202051711</v>
      </c>
      <c r="J508" s="19">
        <f>(1/652.6)*69659.88*1.2*P4</f>
        <v>158.65254805858348</v>
      </c>
      <c r="K508" s="19">
        <f>(1/652.6)*69659.88*1.2*P4</f>
        <v>158.65254805858348</v>
      </c>
      <c r="L508" s="34" t="s">
        <v>131</v>
      </c>
    </row>
    <row r="509" spans="1:12" s="53" customFormat="1" ht="20.100000000000001" customHeight="1" thickBot="1" x14ac:dyDescent="0.3">
      <c r="A509" s="327"/>
      <c r="B509" s="323"/>
      <c r="C509" s="19">
        <f>C508+C507</f>
        <v>203.04723702521088</v>
      </c>
      <c r="D509" s="19">
        <f t="shared" ref="D509:K509" si="285">D508+D507</f>
        <v>149.21871837146958</v>
      </c>
      <c r="E509" s="19">
        <f t="shared" si="285"/>
        <v>132.65309106085778</v>
      </c>
      <c r="F509" s="19">
        <f t="shared" si="285"/>
        <v>99.566064114811994</v>
      </c>
      <c r="G509" s="19">
        <f t="shared" si="285"/>
        <v>101.54966816016902</v>
      </c>
      <c r="H509" s="19">
        <f t="shared" si="285"/>
        <v>99.566064114811994</v>
      </c>
      <c r="I509" s="19">
        <f t="shared" si="285"/>
        <v>134.99498181211993</v>
      </c>
      <c r="J509" s="19">
        <f t="shared" si="285"/>
        <v>160.53731667641983</v>
      </c>
      <c r="K509" s="19">
        <f t="shared" si="285"/>
        <v>160.53731667641983</v>
      </c>
      <c r="L509" s="34" t="s">
        <v>131</v>
      </c>
    </row>
    <row r="510" spans="1:12" s="53" customFormat="1" ht="20.100000000000001" customHeight="1" thickBot="1" x14ac:dyDescent="0.3">
      <c r="A510" s="328"/>
      <c r="B510" s="265" t="s">
        <v>212</v>
      </c>
      <c r="C510" s="75">
        <f>SUM(C505:C508)</f>
        <v>8442.2549555237038</v>
      </c>
      <c r="D510" s="75">
        <f t="shared" ref="D510:K510" si="286">SUM(D505:D508)</f>
        <v>10653.959960320413</v>
      </c>
      <c r="E510" s="75">
        <f t="shared" si="286"/>
        <v>1482.3857706460919</v>
      </c>
      <c r="F510" s="75">
        <f t="shared" si="286"/>
        <v>870.18899645850752</v>
      </c>
      <c r="G510" s="75">
        <f t="shared" si="286"/>
        <v>1990.2207379188144</v>
      </c>
      <c r="H510" s="75">
        <f t="shared" si="286"/>
        <v>895.73228920877409</v>
      </c>
      <c r="I510" s="75">
        <f t="shared" si="286"/>
        <v>4612.7637355722154</v>
      </c>
      <c r="J510" s="75">
        <f t="shared" si="286"/>
        <v>4323.8283209235597</v>
      </c>
      <c r="K510" s="75">
        <f t="shared" si="286"/>
        <v>1814.4810188619822</v>
      </c>
      <c r="L510" s="37" t="s">
        <v>131</v>
      </c>
    </row>
    <row r="511" spans="1:12" s="53" customFormat="1" ht="20.100000000000001" hidden="1" customHeight="1" thickBot="1" x14ac:dyDescent="0.3">
      <c r="A511" s="327" t="s">
        <v>995</v>
      </c>
      <c r="B511" s="321" t="s">
        <v>66</v>
      </c>
      <c r="C511" s="9">
        <v>3130.5572241579716</v>
      </c>
      <c r="D511" s="9">
        <v>5667.066529326431</v>
      </c>
      <c r="E511" s="9">
        <v>452.46571611097107</v>
      </c>
      <c r="F511" s="9">
        <v>272.7866498192289</v>
      </c>
      <c r="G511" s="9">
        <v>707.42344483589841</v>
      </c>
      <c r="H511" s="9">
        <v>222.36210344001503</v>
      </c>
      <c r="I511" s="9">
        <v>1419.1655885407013</v>
      </c>
      <c r="J511" s="9">
        <v>1869.2893744498488</v>
      </c>
      <c r="K511" s="9">
        <v>464.04871150184476</v>
      </c>
      <c r="L511" s="21" t="s">
        <v>131</v>
      </c>
    </row>
    <row r="512" spans="1:12" s="53" customFormat="1" ht="20.100000000000001" customHeight="1" x14ac:dyDescent="0.25">
      <c r="A512" s="327"/>
      <c r="B512" s="322"/>
      <c r="C512" s="10">
        <f>C511/13.19*19.53*1.039</f>
        <v>4816.0905313669127</v>
      </c>
      <c r="D512" s="10">
        <f t="shared" ref="D512:K512" si="287">D511/13.19*19.53*1.039</f>
        <v>8718.2899075919086</v>
      </c>
      <c r="E512" s="10">
        <f t="shared" si="287"/>
        <v>696.07922650777164</v>
      </c>
      <c r="F512" s="10">
        <f t="shared" si="287"/>
        <v>419.6585806320964</v>
      </c>
      <c r="G512" s="10">
        <f t="shared" si="287"/>
        <v>1088.3095597326196</v>
      </c>
      <c r="H512" s="10">
        <f t="shared" si="287"/>
        <v>342.08479329117898</v>
      </c>
      <c r="I512" s="10">
        <f t="shared" si="287"/>
        <v>2183.2630627766257</v>
      </c>
      <c r="J512" s="10">
        <f t="shared" si="287"/>
        <v>2875.739432967609</v>
      </c>
      <c r="K512" s="10">
        <f t="shared" si="287"/>
        <v>713.89865941778908</v>
      </c>
      <c r="L512" s="21" t="s">
        <v>131</v>
      </c>
    </row>
    <row r="513" spans="1:12" s="53" customFormat="1" ht="20.100000000000001" customHeight="1" x14ac:dyDescent="0.25">
      <c r="A513" s="327"/>
      <c r="B513" s="322"/>
      <c r="C513" s="16">
        <f>C512*0.0214</f>
        <v>103.06433737125192</v>
      </c>
      <c r="D513" s="16">
        <f t="shared" ref="D513:K513" si="288">D512*0.0214</f>
        <v>186.57140402246682</v>
      </c>
      <c r="E513" s="16">
        <f t="shared" si="288"/>
        <v>14.896095447266312</v>
      </c>
      <c r="F513" s="16">
        <f t="shared" si="288"/>
        <v>8.9806936255268628</v>
      </c>
      <c r="G513" s="16">
        <f t="shared" si="288"/>
        <v>23.289824578278058</v>
      </c>
      <c r="H513" s="16">
        <f t="shared" si="288"/>
        <v>7.3206145764312298</v>
      </c>
      <c r="I513" s="16">
        <f t="shared" si="288"/>
        <v>46.721829543419787</v>
      </c>
      <c r="J513" s="16">
        <f t="shared" si="288"/>
        <v>61.54082386550683</v>
      </c>
      <c r="K513" s="16">
        <f t="shared" si="288"/>
        <v>15.277431311540685</v>
      </c>
      <c r="L513" s="15" t="s">
        <v>131</v>
      </c>
    </row>
    <row r="514" spans="1:12" s="53" customFormat="1" ht="20.100000000000001" hidden="1" customHeight="1" x14ac:dyDescent="0.25">
      <c r="A514" s="327"/>
      <c r="B514" s="322"/>
      <c r="C514" s="16">
        <f>12559/1617.9</f>
        <v>7.7625316768650716</v>
      </c>
      <c r="D514" s="16">
        <f>9375/593</f>
        <v>15.809443507588533</v>
      </c>
      <c r="E514" s="16">
        <f>4656/1617.9</f>
        <v>2.8778045614685701</v>
      </c>
      <c r="F514" s="16">
        <f>10344/2/1617.9</f>
        <v>3.1967365102911178</v>
      </c>
      <c r="G514" s="16">
        <f>7444/1617.9</f>
        <v>4.6010260213857466</v>
      </c>
      <c r="H514" s="16">
        <f>F514</f>
        <v>3.1967365102911178</v>
      </c>
      <c r="I514" s="16">
        <f>18319/1617.9</f>
        <v>11.322702268372581</v>
      </c>
      <c r="J514" s="16">
        <f>2405/1617.9</f>
        <v>1.4864948389888126</v>
      </c>
      <c r="K514" s="16">
        <f>J514</f>
        <v>1.4864948389888126</v>
      </c>
      <c r="L514" s="15" t="s">
        <v>131</v>
      </c>
    </row>
    <row r="515" spans="1:12" s="53" customFormat="1" ht="20.100000000000001" hidden="1" customHeight="1" thickBot="1" x14ac:dyDescent="0.3">
      <c r="A515" s="327"/>
      <c r="B515" s="322"/>
      <c r="C515" s="18">
        <f>(1/1617.9)*138293.64*1.2*P4</f>
        <v>127.04627374253174</v>
      </c>
      <c r="D515" s="18">
        <f>(1/893)*117549.9*1.2*P4</f>
        <v>195.65105952719981</v>
      </c>
      <c r="E515" s="64">
        <f>(1/1617.9)*92195.76*1.2*P4</f>
        <v>84.697515828354483</v>
      </c>
      <c r="F515" s="19">
        <f>(1/1617.9)*69146.82*1.2*P4</f>
        <v>63.523136871265869</v>
      </c>
      <c r="G515" s="65">
        <f>(1/1617.9)*69146.82*1.2*P4</f>
        <v>63.523136871265869</v>
      </c>
      <c r="H515" s="65">
        <f>(1/1617.9)*69146.82*1.2*P4</f>
        <v>63.523136871265869</v>
      </c>
      <c r="I515" s="65">
        <f>(1/1617.9)*91043.16*1.2*P4</f>
        <v>83.638656323928672</v>
      </c>
      <c r="J515" s="19">
        <f>(1/1617.9)*112939.5*1.2*P4</f>
        <v>103.75417577659148</v>
      </c>
      <c r="K515" s="18">
        <f>(1/1617.9)*48403.08*1.2*P4</f>
        <v>44.466476923028871</v>
      </c>
      <c r="L515" s="15" t="s">
        <v>131</v>
      </c>
    </row>
    <row r="516" spans="1:12" s="53" customFormat="1" ht="20.100000000000001" customHeight="1" thickBot="1" x14ac:dyDescent="0.3">
      <c r="A516" s="327"/>
      <c r="B516" s="322"/>
      <c r="C516" s="10">
        <f>C515+C514</f>
        <v>134.8088054193968</v>
      </c>
      <c r="D516" s="10">
        <f t="shared" ref="D516:K516" si="289">D515+D514</f>
        <v>211.46050303478833</v>
      </c>
      <c r="E516" s="10">
        <f t="shared" si="289"/>
        <v>87.575320389823048</v>
      </c>
      <c r="F516" s="10">
        <f t="shared" si="289"/>
        <v>66.719873381556994</v>
      </c>
      <c r="G516" s="10">
        <f t="shared" si="289"/>
        <v>68.124162892651611</v>
      </c>
      <c r="H516" s="10">
        <f t="shared" si="289"/>
        <v>66.719873381556994</v>
      </c>
      <c r="I516" s="10">
        <f t="shared" si="289"/>
        <v>94.961358592301252</v>
      </c>
      <c r="J516" s="10">
        <f t="shared" si="289"/>
        <v>105.2406706155803</v>
      </c>
      <c r="K516" s="10">
        <f t="shared" si="289"/>
        <v>45.952971762017683</v>
      </c>
      <c r="L516" s="21" t="s">
        <v>131</v>
      </c>
    </row>
    <row r="517" spans="1:12" s="53" customFormat="1" ht="20.100000000000001" customHeight="1" thickBot="1" x14ac:dyDescent="0.3">
      <c r="A517" s="328"/>
      <c r="B517" s="259" t="s">
        <v>212</v>
      </c>
      <c r="C517" s="36">
        <f>SUM(C512:C515)</f>
        <v>5053.9636741575614</v>
      </c>
      <c r="D517" s="36">
        <f t="shared" ref="D517:K517" si="290">SUM(D512:D515)</f>
        <v>9116.3218146491636</v>
      </c>
      <c r="E517" s="36">
        <f t="shared" si="290"/>
        <v>798.55064234486099</v>
      </c>
      <c r="F517" s="36">
        <f t="shared" si="290"/>
        <v>495.35914763918026</v>
      </c>
      <c r="G517" s="36">
        <f t="shared" si="290"/>
        <v>1179.7235472035493</v>
      </c>
      <c r="H517" s="36">
        <f t="shared" si="290"/>
        <v>416.12528124916724</v>
      </c>
      <c r="I517" s="36">
        <f t="shared" si="290"/>
        <v>2324.9462509123468</v>
      </c>
      <c r="J517" s="36">
        <f t="shared" si="290"/>
        <v>3042.5209274486961</v>
      </c>
      <c r="K517" s="36">
        <f t="shared" si="290"/>
        <v>775.12906249134744</v>
      </c>
      <c r="L517" s="37" t="s">
        <v>131</v>
      </c>
    </row>
    <row r="518" spans="1:12" s="53" customFormat="1" ht="20.100000000000001" hidden="1" customHeight="1" thickBot="1" x14ac:dyDescent="0.3">
      <c r="A518" s="327" t="s">
        <v>996</v>
      </c>
      <c r="B518" s="321" t="s">
        <v>67</v>
      </c>
      <c r="C518" s="9">
        <v>3665.9283182347272</v>
      </c>
      <c r="D518" s="9">
        <v>5651.5160567465837</v>
      </c>
      <c r="E518" s="9">
        <v>531.74311071958289</v>
      </c>
      <c r="F518" s="9">
        <v>329.24246123976855</v>
      </c>
      <c r="G518" s="9">
        <v>806.15693702655858</v>
      </c>
      <c r="H518" s="9">
        <v>456.89031760836139</v>
      </c>
      <c r="I518" s="9">
        <v>1217.6005333120379</v>
      </c>
      <c r="J518" s="9">
        <v>1761.0238715988405</v>
      </c>
      <c r="K518" s="9">
        <v>402.94877085478754</v>
      </c>
      <c r="L518" s="20" t="s">
        <v>131</v>
      </c>
    </row>
    <row r="519" spans="1:12" s="53" customFormat="1" ht="20.100000000000001" customHeight="1" x14ac:dyDescent="0.25">
      <c r="A519" s="327"/>
      <c r="B519" s="322"/>
      <c r="C519" s="10">
        <f>C518/13.19*19.53*1.039</f>
        <v>5639.712485009406</v>
      </c>
      <c r="D519" s="10">
        <f t="shared" ref="D519:K519" si="291">D518/13.19*19.53*1.039</f>
        <v>8694.3668554361611</v>
      </c>
      <c r="E519" s="10">
        <f t="shared" si="291"/>
        <v>818.04061618614389</v>
      </c>
      <c r="F519" s="10">
        <f t="shared" si="291"/>
        <v>506.510945675904</v>
      </c>
      <c r="G519" s="10">
        <f t="shared" si="291"/>
        <v>1240.2024665923964</v>
      </c>
      <c r="H519" s="10">
        <f t="shared" si="291"/>
        <v>702.88609181986794</v>
      </c>
      <c r="I519" s="10">
        <f t="shared" si="291"/>
        <v>1873.1727228045399</v>
      </c>
      <c r="J519" s="10">
        <f t="shared" si="291"/>
        <v>2709.1823551634602</v>
      </c>
      <c r="K519" s="10">
        <f t="shared" si="291"/>
        <v>619.90170470742737</v>
      </c>
      <c r="L519" s="26" t="s">
        <v>131</v>
      </c>
    </row>
    <row r="520" spans="1:12" s="53" customFormat="1" ht="20.100000000000001" customHeight="1" x14ac:dyDescent="0.25">
      <c r="A520" s="327"/>
      <c r="B520" s="322"/>
      <c r="C520" s="16">
        <f>C519*0.0214</f>
        <v>120.68984717920128</v>
      </c>
      <c r="D520" s="16">
        <f t="shared" ref="D520:K520" si="292">D519*0.0214</f>
        <v>186.05945070633385</v>
      </c>
      <c r="E520" s="16">
        <f t="shared" si="292"/>
        <v>17.506069186383478</v>
      </c>
      <c r="F520" s="16">
        <f t="shared" si="292"/>
        <v>10.839334237464344</v>
      </c>
      <c r="G520" s="16">
        <f t="shared" si="292"/>
        <v>26.540332785077283</v>
      </c>
      <c r="H520" s="16">
        <f t="shared" si="292"/>
        <v>15.041762364945173</v>
      </c>
      <c r="I520" s="16">
        <f t="shared" si="292"/>
        <v>40.085896268017152</v>
      </c>
      <c r="J520" s="16">
        <f t="shared" si="292"/>
        <v>57.976502400498049</v>
      </c>
      <c r="K520" s="16">
        <f t="shared" si="292"/>
        <v>13.265896480738945</v>
      </c>
      <c r="L520" s="15" t="s">
        <v>131</v>
      </c>
    </row>
    <row r="521" spans="1:12" s="53" customFormat="1" ht="20.100000000000001" hidden="1" customHeight="1" x14ac:dyDescent="0.25">
      <c r="A521" s="327"/>
      <c r="B521" s="322"/>
      <c r="C521" s="16">
        <f>15273/2191.4</f>
        <v>6.969517203614128</v>
      </c>
      <c r="D521" s="16">
        <f>11380/575</f>
        <v>19.791304347826088</v>
      </c>
      <c r="E521" s="16">
        <f>6237/2191.4</f>
        <v>2.8461257643515561</v>
      </c>
      <c r="F521" s="16">
        <f>23760/2/2191.4</f>
        <v>5.4211919320982016</v>
      </c>
      <c r="G521" s="16">
        <f>21797/2191.4</f>
        <v>9.946609473396002</v>
      </c>
      <c r="H521" s="16">
        <f>F521</f>
        <v>5.4211919320982016</v>
      </c>
      <c r="I521" s="16">
        <f>24742/2191.4</f>
        <v>11.290499224240211</v>
      </c>
      <c r="J521" s="16">
        <f>2891/2191.4</f>
        <v>1.3192479693346719</v>
      </c>
      <c r="K521" s="16">
        <f>J521</f>
        <v>1.3192479693346719</v>
      </c>
      <c r="L521" s="15" t="s">
        <v>131</v>
      </c>
    </row>
    <row r="522" spans="1:12" s="53" customFormat="1" ht="20.100000000000001" hidden="1" customHeight="1" thickBot="1" x14ac:dyDescent="0.3">
      <c r="A522" s="327"/>
      <c r="B522" s="322"/>
      <c r="C522" s="18">
        <f>(1/2191.4)*201552*1.2*P4</f>
        <v>136.70262487907272</v>
      </c>
      <c r="D522" s="18">
        <f>(1/2000)*171319.2*1.2*P4</f>
        <v>127.31730616799999</v>
      </c>
      <c r="E522" s="18">
        <f>(1/2191.4)*134367.66*1.2*P4</f>
        <v>91.134852647747394</v>
      </c>
      <c r="F522" s="19">
        <f>(1/2191.4)*100776*1.2*P4</f>
        <v>68.351312439536358</v>
      </c>
      <c r="G522" s="19">
        <f>(1/2191.4)*100776*1.2*P4</f>
        <v>68.351312439536358</v>
      </c>
      <c r="H522" s="19">
        <f>(1/2191.4)*100776*1.2*P4</f>
        <v>68.351312439536358</v>
      </c>
      <c r="I522" s="19">
        <f>(1/2191.4)*132688.74*1.2*P4</f>
        <v>89.996125317023953</v>
      </c>
      <c r="J522" s="19">
        <f>(1/2191.4)*164601.48*1.2*P4</f>
        <v>111.64093819451155</v>
      </c>
      <c r="K522" s="18">
        <f>(1/2191.4)*70543.2*1.2*P4</f>
        <v>47.845918707675445</v>
      </c>
      <c r="L522" s="20" t="s">
        <v>131</v>
      </c>
    </row>
    <row r="523" spans="1:12" s="53" customFormat="1" ht="20.100000000000001" customHeight="1" thickBot="1" x14ac:dyDescent="0.3">
      <c r="A523" s="327"/>
      <c r="B523" s="323"/>
      <c r="C523" s="18">
        <f>C522+C521</f>
        <v>143.67214208268683</v>
      </c>
      <c r="D523" s="18">
        <f t="shared" ref="D523:K523" si="293">D522+D521</f>
        <v>147.10861051582609</v>
      </c>
      <c r="E523" s="18">
        <f t="shared" si="293"/>
        <v>93.980978412098949</v>
      </c>
      <c r="F523" s="18">
        <f t="shared" si="293"/>
        <v>73.772504371634554</v>
      </c>
      <c r="G523" s="18">
        <f t="shared" si="293"/>
        <v>78.297921912932367</v>
      </c>
      <c r="H523" s="18">
        <f t="shared" si="293"/>
        <v>73.772504371634554</v>
      </c>
      <c r="I523" s="18">
        <f t="shared" si="293"/>
        <v>101.28662454126416</v>
      </c>
      <c r="J523" s="18">
        <f t="shared" si="293"/>
        <v>112.96018616384622</v>
      </c>
      <c r="K523" s="18">
        <f t="shared" si="293"/>
        <v>49.16516667701012</v>
      </c>
      <c r="L523" s="34" t="s">
        <v>131</v>
      </c>
    </row>
    <row r="524" spans="1:12" s="53" customFormat="1" ht="20.100000000000001" customHeight="1" thickBot="1" x14ac:dyDescent="0.3">
      <c r="A524" s="328"/>
      <c r="B524" s="265" t="s">
        <v>212</v>
      </c>
      <c r="C524" s="18">
        <f>SUM(C519:C522)</f>
        <v>5904.0744742712941</v>
      </c>
      <c r="D524" s="18">
        <f t="shared" ref="D524:K524" si="294">SUM(D519:D522)</f>
        <v>9027.5349166583219</v>
      </c>
      <c r="E524" s="18">
        <f t="shared" si="294"/>
        <v>929.52766378462627</v>
      </c>
      <c r="F524" s="18">
        <f t="shared" si="294"/>
        <v>591.12278428500292</v>
      </c>
      <c r="G524" s="18">
        <f t="shared" si="294"/>
        <v>1345.0407212904058</v>
      </c>
      <c r="H524" s="18">
        <f t="shared" si="294"/>
        <v>791.70035855644767</v>
      </c>
      <c r="I524" s="18">
        <f t="shared" si="294"/>
        <v>2014.5452436138214</v>
      </c>
      <c r="J524" s="18">
        <f t="shared" si="294"/>
        <v>2880.1190437278046</v>
      </c>
      <c r="K524" s="18">
        <f t="shared" si="294"/>
        <v>682.33276786517649</v>
      </c>
      <c r="L524" s="34" t="s">
        <v>131</v>
      </c>
    </row>
    <row r="525" spans="1:12" s="53" customFormat="1" ht="20.100000000000001" hidden="1" customHeight="1" thickBot="1" x14ac:dyDescent="0.3">
      <c r="A525" s="327" t="s">
        <v>997</v>
      </c>
      <c r="B525" s="321" t="s">
        <v>68</v>
      </c>
      <c r="C525" s="9">
        <v>3270.6696841092548</v>
      </c>
      <c r="D525" s="9">
        <v>7284.5999455497385</v>
      </c>
      <c r="E525" s="9">
        <v>498.12079958537089</v>
      </c>
      <c r="F525" s="9">
        <v>346.87530804100658</v>
      </c>
      <c r="G525" s="9">
        <v>811.04604111911817</v>
      </c>
      <c r="H525" s="9">
        <v>403.19463241791868</v>
      </c>
      <c r="I525" s="9">
        <v>1288.1455345485376</v>
      </c>
      <c r="J525" s="9">
        <v>1612.3753116345847</v>
      </c>
      <c r="K525" s="9">
        <v>356.58741942505446</v>
      </c>
      <c r="L525" s="20" t="s">
        <v>131</v>
      </c>
    </row>
    <row r="526" spans="1:12" s="53" customFormat="1" ht="20.100000000000001" customHeight="1" x14ac:dyDescent="0.25">
      <c r="A526" s="327"/>
      <c r="B526" s="322"/>
      <c r="C526" s="7">
        <f>C525/13.19*19.53*1.039</f>
        <v>5031.641388093195</v>
      </c>
      <c r="D526" s="7">
        <f t="shared" ref="D526:K526" si="295">D525/13.19*19.53*1.039</f>
        <v>11206.724653306541</v>
      </c>
      <c r="E526" s="7">
        <f t="shared" si="295"/>
        <v>766.31560919806543</v>
      </c>
      <c r="F526" s="7">
        <f t="shared" si="295"/>
        <v>533.6375498041283</v>
      </c>
      <c r="G526" s="7">
        <f t="shared" si="295"/>
        <v>1247.7239288245321</v>
      </c>
      <c r="H526" s="7">
        <f t="shared" si="295"/>
        <v>620.27994137950782</v>
      </c>
      <c r="I526" s="7">
        <f t="shared" si="295"/>
        <v>1981.7000833231634</v>
      </c>
      <c r="J526" s="7">
        <f t="shared" si="295"/>
        <v>2480.4994495705955</v>
      </c>
      <c r="K526" s="7">
        <f t="shared" si="295"/>
        <v>548.57879007769486</v>
      </c>
      <c r="L526" s="8" t="s">
        <v>131</v>
      </c>
    </row>
    <row r="527" spans="1:12" s="53" customFormat="1" ht="20.100000000000001" customHeight="1" x14ac:dyDescent="0.25">
      <c r="A527" s="327"/>
      <c r="B527" s="322"/>
      <c r="C527" s="35">
        <f>C526*0.0214</f>
        <v>107.67712570519437</v>
      </c>
      <c r="D527" s="35">
        <f t="shared" ref="D527:K527" si="296">D526*0.0214</f>
        <v>239.82390758075996</v>
      </c>
      <c r="E527" s="35">
        <f t="shared" si="296"/>
        <v>16.399154036838599</v>
      </c>
      <c r="F527" s="35">
        <f t="shared" si="296"/>
        <v>11.419843565808344</v>
      </c>
      <c r="G527" s="35">
        <f t="shared" si="296"/>
        <v>26.701292076844986</v>
      </c>
      <c r="H527" s="35">
        <f t="shared" si="296"/>
        <v>13.273990745521466</v>
      </c>
      <c r="I527" s="35">
        <f t="shared" si="296"/>
        <v>42.408381783115694</v>
      </c>
      <c r="J527" s="35">
        <f t="shared" si="296"/>
        <v>53.082688220810738</v>
      </c>
      <c r="K527" s="35">
        <f t="shared" si="296"/>
        <v>11.739586107662669</v>
      </c>
      <c r="L527" s="62" t="s">
        <v>131</v>
      </c>
    </row>
    <row r="528" spans="1:12" s="53" customFormat="1" ht="20.100000000000001" hidden="1" customHeight="1" x14ac:dyDescent="0.25">
      <c r="A528" s="327"/>
      <c r="B528" s="322"/>
      <c r="C528" s="16">
        <f>11557/1651.3</f>
        <v>6.9987282746926667</v>
      </c>
      <c r="D528" s="16">
        <f>8623/413</f>
        <v>20.878934624697337</v>
      </c>
      <c r="E528" s="16">
        <f>4748/1651.3</f>
        <v>2.8753103615333373</v>
      </c>
      <c r="F528" s="16">
        <f>10553/2/1651.3</f>
        <v>3.1953612305456307</v>
      </c>
      <c r="G528" s="16">
        <f>7594/1651.3</f>
        <v>4.598800944710228</v>
      </c>
      <c r="H528" s="16">
        <f>F528</f>
        <v>3.1953612305456307</v>
      </c>
      <c r="I528" s="16">
        <f>18693/1651.3</f>
        <v>11.32017198570823</v>
      </c>
      <c r="J528" s="16">
        <f>2226/1651.3</f>
        <v>1.348028825773633</v>
      </c>
      <c r="K528" s="16">
        <f>J528</f>
        <v>1.348028825773633</v>
      </c>
      <c r="L528" s="15" t="s">
        <v>131</v>
      </c>
    </row>
    <row r="529" spans="1:12" s="53" customFormat="1" ht="20.100000000000001" hidden="1" customHeight="1" thickBot="1" x14ac:dyDescent="0.3">
      <c r="A529" s="327"/>
      <c r="B529" s="322"/>
      <c r="C529" s="18">
        <f>(1/1651.3)*192807.54*1.2*P4</f>
        <v>173.54393144000738</v>
      </c>
      <c r="D529" s="18">
        <f>(1/580)*67482.18*1.2*P4</f>
        <v>172.93086323444641</v>
      </c>
      <c r="E529" s="18">
        <f>(1/1651.3)*128538.36*1.2*P4</f>
        <v>115.69595429333825</v>
      </c>
      <c r="F529" s="19">
        <f>(1/1651.3)*96403.26*1.2*P4</f>
        <v>86.771506674651846</v>
      </c>
      <c r="G529" s="19">
        <f>(1/1651.3)*96403.26*1.2*P4</f>
        <v>86.771506674651846</v>
      </c>
      <c r="H529" s="19">
        <f>(1/1651.3)*96403.26*1.2*P4</f>
        <v>86.771506674651846</v>
      </c>
      <c r="I529" s="19">
        <f>(1/1651.3)*126930.84*1.2*P4</f>
        <v>114.24904334437618</v>
      </c>
      <c r="J529" s="19">
        <f>(1/1651.3)*157459.44*1.2*P4</f>
        <v>141.72749810480417</v>
      </c>
      <c r="K529" s="18">
        <f>(1/1651.3)*67482.18*1.2*P4</f>
        <v>60.73996286318593</v>
      </c>
      <c r="L529" s="20" t="s">
        <v>131</v>
      </c>
    </row>
    <row r="530" spans="1:12" s="53" customFormat="1" ht="20.100000000000001" customHeight="1" thickBot="1" x14ac:dyDescent="0.3">
      <c r="A530" s="327"/>
      <c r="B530" s="323"/>
      <c r="C530" s="18">
        <f>C529+C528</f>
        <v>180.54265971470005</v>
      </c>
      <c r="D530" s="18">
        <f t="shared" ref="D530:K530" si="297">D529+D528</f>
        <v>193.80979785914374</v>
      </c>
      <c r="E530" s="18">
        <f t="shared" si="297"/>
        <v>118.57126465487158</v>
      </c>
      <c r="F530" s="18">
        <f t="shared" si="297"/>
        <v>89.966867905197475</v>
      </c>
      <c r="G530" s="18">
        <f t="shared" si="297"/>
        <v>91.37030761936208</v>
      </c>
      <c r="H530" s="18">
        <f t="shared" si="297"/>
        <v>89.966867905197475</v>
      </c>
      <c r="I530" s="18">
        <f t="shared" si="297"/>
        <v>125.5692153300844</v>
      </c>
      <c r="J530" s="18">
        <f t="shared" si="297"/>
        <v>143.07552693057781</v>
      </c>
      <c r="K530" s="18">
        <f t="shared" si="297"/>
        <v>62.087991688959562</v>
      </c>
      <c r="L530" s="34" t="s">
        <v>131</v>
      </c>
    </row>
    <row r="531" spans="1:12" s="53" customFormat="1" ht="20.100000000000001" customHeight="1" thickBot="1" x14ac:dyDescent="0.3">
      <c r="A531" s="328"/>
      <c r="B531" s="259" t="s">
        <v>212</v>
      </c>
      <c r="C531" s="36">
        <f>SUM(C526:C529)</f>
        <v>5319.8611735130889</v>
      </c>
      <c r="D531" s="36">
        <f t="shared" ref="D531:K531" si="298">SUM(D526:D529)</f>
        <v>11640.358358746445</v>
      </c>
      <c r="E531" s="36">
        <f t="shared" si="298"/>
        <v>901.2860278897756</v>
      </c>
      <c r="F531" s="36">
        <f t="shared" si="298"/>
        <v>635.02426127513411</v>
      </c>
      <c r="G531" s="36">
        <f t="shared" si="298"/>
        <v>1365.7955285207393</v>
      </c>
      <c r="H531" s="36">
        <f t="shared" si="298"/>
        <v>723.52080003022672</v>
      </c>
      <c r="I531" s="36">
        <f t="shared" si="298"/>
        <v>2149.6776804363635</v>
      </c>
      <c r="J531" s="36">
        <f t="shared" si="298"/>
        <v>2676.657664721984</v>
      </c>
      <c r="K531" s="36">
        <f t="shared" si="298"/>
        <v>622.4063678743172</v>
      </c>
      <c r="L531" s="37" t="s">
        <v>131</v>
      </c>
    </row>
    <row r="532" spans="1:12" s="53" customFormat="1" ht="20.100000000000001" hidden="1" customHeight="1" thickBot="1" x14ac:dyDescent="0.3">
      <c r="A532" s="327" t="s">
        <v>998</v>
      </c>
      <c r="B532" s="321" t="s">
        <v>69</v>
      </c>
      <c r="C532" s="9">
        <v>4014.4512363597159</v>
      </c>
      <c r="D532" s="9">
        <v>4352.0226213333326</v>
      </c>
      <c r="E532" s="9">
        <v>491.26998576337803</v>
      </c>
      <c r="F532" s="9">
        <v>336.38192582579899</v>
      </c>
      <c r="G532" s="9">
        <v>591.99174213140623</v>
      </c>
      <c r="H532" s="9">
        <v>358.82050176102587</v>
      </c>
      <c r="I532" s="9">
        <v>1937.1531678476431</v>
      </c>
      <c r="J532" s="9">
        <v>1485.2699449133252</v>
      </c>
      <c r="K532" s="9">
        <v>343.86925569917082</v>
      </c>
      <c r="L532" s="20" t="s">
        <v>131</v>
      </c>
    </row>
    <row r="533" spans="1:12" s="53" customFormat="1" ht="20.100000000000001" customHeight="1" x14ac:dyDescent="0.25">
      <c r="A533" s="327"/>
      <c r="B533" s="322"/>
      <c r="C533" s="10">
        <f>C532/13.19*19.53*1.039</f>
        <v>6175.8847399016959</v>
      </c>
      <c r="D533" s="10">
        <f t="shared" ref="D533:K533" si="299">D532/13.19*19.53*1.039</f>
        <v>6695.2090117233474</v>
      </c>
      <c r="E533" s="10">
        <f t="shared" si="299"/>
        <v>755.77622683966376</v>
      </c>
      <c r="F533" s="10">
        <f t="shared" si="299"/>
        <v>517.49439217752774</v>
      </c>
      <c r="G533" s="10">
        <f t="shared" si="299"/>
        <v>910.7279055387105</v>
      </c>
      <c r="H533" s="10">
        <f t="shared" si="299"/>
        <v>552.01419340175562</v>
      </c>
      <c r="I533" s="10">
        <f t="shared" si="299"/>
        <v>2980.1419879771788</v>
      </c>
      <c r="J533" s="10">
        <f t="shared" si="299"/>
        <v>2284.9588766565103</v>
      </c>
      <c r="K533" s="10">
        <f t="shared" si="299"/>
        <v>529.0129992261709</v>
      </c>
      <c r="L533" s="26" t="s">
        <v>131</v>
      </c>
    </row>
    <row r="534" spans="1:12" s="53" customFormat="1" ht="20.100000000000001" customHeight="1" x14ac:dyDescent="0.25">
      <c r="A534" s="327"/>
      <c r="B534" s="322"/>
      <c r="C534" s="16">
        <f>C533*0.0214</f>
        <v>132.16393343389629</v>
      </c>
      <c r="D534" s="16">
        <f t="shared" ref="D534:K534" si="300">D533*0.0214</f>
        <v>143.27747285087963</v>
      </c>
      <c r="E534" s="16">
        <f t="shared" si="300"/>
        <v>16.173611254368804</v>
      </c>
      <c r="F534" s="16">
        <f t="shared" si="300"/>
        <v>11.074379992599093</v>
      </c>
      <c r="G534" s="16">
        <f t="shared" si="300"/>
        <v>19.489577178528403</v>
      </c>
      <c r="H534" s="16">
        <f t="shared" si="300"/>
        <v>11.813103738797569</v>
      </c>
      <c r="I534" s="16">
        <f t="shared" si="300"/>
        <v>63.77503854271162</v>
      </c>
      <c r="J534" s="16">
        <f t="shared" si="300"/>
        <v>48.898119960449314</v>
      </c>
      <c r="K534" s="16">
        <f t="shared" si="300"/>
        <v>11.320878183440056</v>
      </c>
      <c r="L534" s="15" t="s">
        <v>131</v>
      </c>
    </row>
    <row r="535" spans="1:12" s="53" customFormat="1" ht="20.100000000000001" hidden="1" customHeight="1" x14ac:dyDescent="0.25">
      <c r="A535" s="327"/>
      <c r="B535" s="322"/>
      <c r="C535" s="16">
        <f>24617/4247.9</f>
        <v>5.7950987546787829</v>
      </c>
      <c r="D535" s="16">
        <f>18311/850</f>
        <v>21.542352941176471</v>
      </c>
      <c r="E535" s="16">
        <f>11908/4247.9</f>
        <v>2.803267496880812</v>
      </c>
      <c r="F535" s="16">
        <f>59208/2/4247.9</f>
        <v>6.9690906094776253</v>
      </c>
      <c r="G535" s="16">
        <f>53497/4247.9</f>
        <v>12.593752206972859</v>
      </c>
      <c r="H535" s="16">
        <f>F535</f>
        <v>6.9690906094776253</v>
      </c>
      <c r="I535" s="16">
        <f>63015/4247.9</f>
        <v>14.834388756797477</v>
      </c>
      <c r="J535" s="16">
        <f>4562/4247.9</f>
        <v>1.0739424186068411</v>
      </c>
      <c r="K535" s="16">
        <f>J535</f>
        <v>1.0739424186068411</v>
      </c>
      <c r="L535" s="15" t="s">
        <v>131</v>
      </c>
    </row>
    <row r="536" spans="1:12" s="53" customFormat="1" ht="20.100000000000001" hidden="1" customHeight="1" thickBot="1" x14ac:dyDescent="0.3">
      <c r="A536" s="327"/>
      <c r="B536" s="322"/>
      <c r="C536" s="18">
        <f>(1/4247.9)*297127.02*1.2*P4</f>
        <v>103.96310978849489</v>
      </c>
      <c r="D536" s="18">
        <f>(1/850)*103994.1*1.2*P4</f>
        <v>181.84492036421048</v>
      </c>
      <c r="E536" s="18">
        <f>(1/4247.9)*198084*1.2*P4</f>
        <v>69.308501930737293</v>
      </c>
      <c r="F536" s="19">
        <f>(1/4247.9)*148563*1.2*P4</f>
        <v>51.98137644805297</v>
      </c>
      <c r="G536" s="19">
        <f>(1/4247.9)*148563*1.2*P4</f>
        <v>51.98137644805297</v>
      </c>
      <c r="H536" s="19">
        <f>(1/4247.9)*148563*1.2*P4</f>
        <v>51.98137644805297</v>
      </c>
      <c r="I536" s="19">
        <f>(1/4247.9)*195608.46*1.2*P4</f>
        <v>68.442324102797542</v>
      </c>
      <c r="J536" s="19">
        <f>(1/4247.9)*242653.92*1.2*P4</f>
        <v>84.903271757542115</v>
      </c>
      <c r="K536" s="18">
        <f>(1/4247.9)*103994.1*1.2*P4</f>
        <v>36.386963513637077</v>
      </c>
      <c r="L536" s="20" t="s">
        <v>131</v>
      </c>
    </row>
    <row r="537" spans="1:12" s="53" customFormat="1" ht="20.100000000000001" customHeight="1" thickBot="1" x14ac:dyDescent="0.3">
      <c r="A537" s="327"/>
      <c r="B537" s="323"/>
      <c r="C537" s="18">
        <f>C536+C535</f>
        <v>109.75820854317368</v>
      </c>
      <c r="D537" s="18">
        <f t="shared" ref="D537:K537" si="301">D536+D535</f>
        <v>203.38727330538694</v>
      </c>
      <c r="E537" s="18">
        <f t="shared" si="301"/>
        <v>72.1117694276181</v>
      </c>
      <c r="F537" s="18">
        <f t="shared" si="301"/>
        <v>58.950467057530595</v>
      </c>
      <c r="G537" s="18">
        <f t="shared" si="301"/>
        <v>64.575128655025821</v>
      </c>
      <c r="H537" s="18">
        <f t="shared" si="301"/>
        <v>58.950467057530595</v>
      </c>
      <c r="I537" s="18">
        <f t="shared" si="301"/>
        <v>83.276712859595023</v>
      </c>
      <c r="J537" s="18">
        <f t="shared" si="301"/>
        <v>85.977214176148962</v>
      </c>
      <c r="K537" s="18">
        <f t="shared" si="301"/>
        <v>37.460905932243918</v>
      </c>
      <c r="L537" s="34" t="s">
        <v>131</v>
      </c>
    </row>
    <row r="538" spans="1:12" s="53" customFormat="1" ht="20.100000000000001" customHeight="1" thickBot="1" x14ac:dyDescent="0.3">
      <c r="A538" s="328"/>
      <c r="B538" s="259" t="s">
        <v>212</v>
      </c>
      <c r="C538" s="36">
        <f>SUM(C533:C536)</f>
        <v>6417.806881878766</v>
      </c>
      <c r="D538" s="36">
        <f t="shared" ref="D538:K538" si="302">SUM(D533:D536)</f>
        <v>7041.8737578796135</v>
      </c>
      <c r="E538" s="36">
        <f t="shared" si="302"/>
        <v>844.06160752165067</v>
      </c>
      <c r="F538" s="36">
        <f t="shared" si="302"/>
        <v>587.51923922765741</v>
      </c>
      <c r="G538" s="36">
        <f t="shared" si="302"/>
        <v>994.79261137226479</v>
      </c>
      <c r="H538" s="36">
        <f t="shared" si="302"/>
        <v>622.77776419808379</v>
      </c>
      <c r="I538" s="36">
        <f t="shared" si="302"/>
        <v>3127.1937393794856</v>
      </c>
      <c r="J538" s="36">
        <f t="shared" si="302"/>
        <v>2419.834210793108</v>
      </c>
      <c r="K538" s="36">
        <f t="shared" si="302"/>
        <v>577.7947833418549</v>
      </c>
      <c r="L538" s="37" t="s">
        <v>131</v>
      </c>
    </row>
    <row r="539" spans="1:12" s="53" customFormat="1" ht="20.100000000000001" hidden="1" customHeight="1" thickBot="1" x14ac:dyDescent="0.3">
      <c r="A539" s="327" t="s">
        <v>999</v>
      </c>
      <c r="B539" s="321" t="s">
        <v>70</v>
      </c>
      <c r="C539" s="9">
        <v>4980.3673449719472</v>
      </c>
      <c r="D539" s="9">
        <v>7900.202659468302</v>
      </c>
      <c r="E539" s="9">
        <v>810.87773310361081</v>
      </c>
      <c r="F539" s="9">
        <v>463.99796117551904</v>
      </c>
      <c r="G539" s="9">
        <v>2048.1575564842278</v>
      </c>
      <c r="H539" s="9">
        <v>339.0219639919174</v>
      </c>
      <c r="I539" s="9">
        <v>3722.4977365866812</v>
      </c>
      <c r="J539" s="9">
        <v>3398.4877975718796</v>
      </c>
      <c r="K539" s="9">
        <v>724.16356500145355</v>
      </c>
      <c r="L539" s="20" t="s">
        <v>131</v>
      </c>
    </row>
    <row r="540" spans="1:12" s="53" customFormat="1" ht="20.100000000000001" customHeight="1" x14ac:dyDescent="0.25">
      <c r="A540" s="327"/>
      <c r="B540" s="322"/>
      <c r="C540" s="7">
        <f>C539/14.06*19.53*1.039</f>
        <v>7187.7646260986421</v>
      </c>
      <c r="D540" s="7">
        <f t="shared" ref="D540:K540" si="303">D539/14.06*19.53*1.039</f>
        <v>11401.728684143183</v>
      </c>
      <c r="E540" s="7">
        <f t="shared" si="303"/>
        <v>1170.2747774172508</v>
      </c>
      <c r="F540" s="7">
        <f t="shared" si="303"/>
        <v>669.65103192364461</v>
      </c>
      <c r="G540" s="7">
        <f t="shared" si="303"/>
        <v>2955.941482516665</v>
      </c>
      <c r="H540" s="7">
        <f t="shared" si="303"/>
        <v>489.28320171236629</v>
      </c>
      <c r="I540" s="7">
        <f t="shared" si="303"/>
        <v>5372.3823361709719</v>
      </c>
      <c r="J540" s="7">
        <f t="shared" si="303"/>
        <v>4904.7647857294014</v>
      </c>
      <c r="K540" s="7">
        <f t="shared" si="303"/>
        <v>1045.1271754646546</v>
      </c>
      <c r="L540" s="8" t="s">
        <v>131</v>
      </c>
    </row>
    <row r="541" spans="1:12" s="53" customFormat="1" ht="20.100000000000001" customHeight="1" x14ac:dyDescent="0.25">
      <c r="A541" s="327"/>
      <c r="B541" s="322"/>
      <c r="C541" s="35">
        <f>C540*0.0214</f>
        <v>153.81816299851093</v>
      </c>
      <c r="D541" s="35">
        <f t="shared" ref="D541:K541" si="304">D540*0.0214</f>
        <v>243.99699384066412</v>
      </c>
      <c r="E541" s="35">
        <f t="shared" si="304"/>
        <v>25.043880236729166</v>
      </c>
      <c r="F541" s="35">
        <f t="shared" si="304"/>
        <v>14.330532083165993</v>
      </c>
      <c r="G541" s="35">
        <f t="shared" si="304"/>
        <v>63.257147725856626</v>
      </c>
      <c r="H541" s="35">
        <f t="shared" si="304"/>
        <v>10.470660516644639</v>
      </c>
      <c r="I541" s="35">
        <f t="shared" si="304"/>
        <v>114.96898199405879</v>
      </c>
      <c r="J541" s="35">
        <f t="shared" si="304"/>
        <v>104.96196641460918</v>
      </c>
      <c r="K541" s="35">
        <f t="shared" si="304"/>
        <v>22.365721554943605</v>
      </c>
      <c r="L541" s="62" t="s">
        <v>131</v>
      </c>
    </row>
    <row r="542" spans="1:12" s="53" customFormat="1" ht="20.100000000000001" hidden="1" customHeight="1" x14ac:dyDescent="0.25">
      <c r="A542" s="327"/>
      <c r="B542" s="322"/>
      <c r="C542" s="16">
        <f>3307/370.9</f>
        <v>8.916149905634942</v>
      </c>
      <c r="D542" s="16">
        <f>2503/195</f>
        <v>12.835897435897436</v>
      </c>
      <c r="E542" s="16">
        <f>1217/370.9</f>
        <v>3.2812078727419793</v>
      </c>
      <c r="F542" s="16">
        <f>1357/2/370.9</f>
        <v>1.8293340523052037</v>
      </c>
      <c r="G542" s="16">
        <f>1191/370.9</f>
        <v>3.2111081153949854</v>
      </c>
      <c r="H542" s="16">
        <f>F542</f>
        <v>1.8293340523052037</v>
      </c>
      <c r="I542" s="16">
        <f>1689/370.9</f>
        <v>4.5537880830412512</v>
      </c>
      <c r="J542" s="16">
        <f>751/370.9</f>
        <v>2.0248045295227826</v>
      </c>
      <c r="K542" s="16">
        <f>J542</f>
        <v>2.0248045295227826</v>
      </c>
      <c r="L542" s="15" t="s">
        <v>131</v>
      </c>
    </row>
    <row r="543" spans="1:12" s="53" customFormat="1" ht="20.100000000000001" hidden="1" customHeight="1" thickBot="1" x14ac:dyDescent="0.3">
      <c r="A543" s="327"/>
      <c r="B543" s="322"/>
      <c r="C543" s="18">
        <f>(1/370.9)*80737.08/3*1.2*P4</f>
        <v>107.84657300835805</v>
      </c>
      <c r="D543" s="18">
        <f>(1/210)*68626.62/3*1.2*P4</f>
        <v>161.90619225834584</v>
      </c>
      <c r="E543" s="18">
        <f>(1/370.9)*53824.38/3*1.2*P4</f>
        <v>71.897261175405475</v>
      </c>
      <c r="F543" s="18">
        <f>(1/370.9)*40368.54/3*1.2*P4</f>
        <v>53.923286504179025</v>
      </c>
      <c r="G543" s="19">
        <f>(1/370.9)*40368.54/3*1.2*P4</f>
        <v>53.923286504179025</v>
      </c>
      <c r="H543" s="19">
        <f>(1/370.9)*40368.54/3*1.2*P4</f>
        <v>53.923286504179025</v>
      </c>
      <c r="I543" s="19">
        <f>(1/370.9)*53152.2/3*1.2*P4</f>
        <v>70.999379936143939</v>
      </c>
      <c r="J543" s="19">
        <f>(1/370.9)*65934.84/3*1.2*P4</f>
        <v>88.074110877609215</v>
      </c>
      <c r="K543" s="18">
        <f>(1/370.9)*28258.08/3*1.2*P4</f>
        <v>37.746436801975278</v>
      </c>
      <c r="L543" s="20" t="s">
        <v>131</v>
      </c>
    </row>
    <row r="544" spans="1:12" s="53" customFormat="1" ht="20.100000000000001" customHeight="1" thickBot="1" x14ac:dyDescent="0.3">
      <c r="A544" s="327"/>
      <c r="B544" s="323"/>
      <c r="C544" s="18">
        <f>C543+C542</f>
        <v>116.76272291399299</v>
      </c>
      <c r="D544" s="18">
        <f t="shared" ref="D544:J544" si="305">D543+D542</f>
        <v>174.74208969424328</v>
      </c>
      <c r="E544" s="18">
        <f t="shared" si="305"/>
        <v>75.178469048147448</v>
      </c>
      <c r="F544" s="18">
        <f t="shared" si="305"/>
        <v>55.752620556484231</v>
      </c>
      <c r="G544" s="18">
        <f t="shared" si="305"/>
        <v>57.13439461957401</v>
      </c>
      <c r="H544" s="18">
        <f t="shared" si="305"/>
        <v>55.752620556484231</v>
      </c>
      <c r="I544" s="18">
        <f t="shared" si="305"/>
        <v>75.553168019185193</v>
      </c>
      <c r="J544" s="18">
        <f t="shared" si="305"/>
        <v>90.098915407131997</v>
      </c>
      <c r="K544" s="18">
        <f>K543+K542</f>
        <v>39.771241331498061</v>
      </c>
      <c r="L544" s="34" t="s">
        <v>131</v>
      </c>
    </row>
    <row r="545" spans="1:12" s="53" customFormat="1" ht="20.100000000000001" customHeight="1" thickBot="1" x14ac:dyDescent="0.3">
      <c r="A545" s="328"/>
      <c r="B545" s="265" t="s">
        <v>212</v>
      </c>
      <c r="C545" s="36">
        <f>SUM(C540:C543)</f>
        <v>7458.3455120111466</v>
      </c>
      <c r="D545" s="36">
        <f t="shared" ref="D545:K545" si="306">SUM(D540:D543)</f>
        <v>11820.467767678092</v>
      </c>
      <c r="E545" s="36">
        <f t="shared" si="306"/>
        <v>1270.4971267021274</v>
      </c>
      <c r="F545" s="36">
        <f t="shared" si="306"/>
        <v>739.73418456329478</v>
      </c>
      <c r="G545" s="36">
        <f t="shared" si="306"/>
        <v>3076.3330248620955</v>
      </c>
      <c r="H545" s="36">
        <f t="shared" si="306"/>
        <v>555.50648278549511</v>
      </c>
      <c r="I545" s="36">
        <f t="shared" si="306"/>
        <v>5562.9044861842158</v>
      </c>
      <c r="J545" s="36">
        <f t="shared" si="306"/>
        <v>5099.8256675511429</v>
      </c>
      <c r="K545" s="36">
        <f t="shared" si="306"/>
        <v>1107.2641383510961</v>
      </c>
      <c r="L545" s="37" t="s">
        <v>131</v>
      </c>
    </row>
    <row r="546" spans="1:12" s="53" customFormat="1" ht="20.100000000000001" hidden="1" customHeight="1" thickBot="1" x14ac:dyDescent="0.3">
      <c r="A546" s="327" t="s">
        <v>1000</v>
      </c>
      <c r="B546" s="321" t="s">
        <v>71</v>
      </c>
      <c r="C546" s="9">
        <v>5388.660223241628</v>
      </c>
      <c r="D546" s="9">
        <v>7025.9108618644077</v>
      </c>
      <c r="E546" s="9">
        <v>829.4627002630682</v>
      </c>
      <c r="F546" s="9">
        <v>528.37025807288694</v>
      </c>
      <c r="G546" s="9">
        <v>1320.1633372239748</v>
      </c>
      <c r="H546" s="9">
        <v>570.31748866640919</v>
      </c>
      <c r="I546" s="9">
        <v>3186.0421012618299</v>
      </c>
      <c r="J546" s="9">
        <v>2762.8203027274071</v>
      </c>
      <c r="K546" s="9" t="s">
        <v>131</v>
      </c>
      <c r="L546" s="20" t="s">
        <v>131</v>
      </c>
    </row>
    <row r="547" spans="1:12" s="53" customFormat="1" ht="20.100000000000001" customHeight="1" x14ac:dyDescent="0.25">
      <c r="A547" s="327"/>
      <c r="B547" s="322"/>
      <c r="C547" s="10">
        <f>C546/14.06*19.53*1.039</f>
        <v>7777.0209809491771</v>
      </c>
      <c r="D547" s="10">
        <f t="shared" ref="D547:J547" si="307">D546/14.06*19.53*1.039</f>
        <v>10139.933474990623</v>
      </c>
      <c r="E547" s="10">
        <f t="shared" si="307"/>
        <v>1197.0969694912585</v>
      </c>
      <c r="F547" s="10">
        <f t="shared" si="307"/>
        <v>762.55440360098555</v>
      </c>
      <c r="G547" s="10">
        <f t="shared" si="307"/>
        <v>1905.2858310844672</v>
      </c>
      <c r="H547" s="10">
        <f t="shared" si="307"/>
        <v>823.09347619114601</v>
      </c>
      <c r="I547" s="10">
        <f t="shared" si="307"/>
        <v>4598.1589562526051</v>
      </c>
      <c r="J547" s="10">
        <f t="shared" si="307"/>
        <v>3987.3568884953515</v>
      </c>
      <c r="K547" s="10" t="s">
        <v>131</v>
      </c>
      <c r="L547" s="26" t="s">
        <v>131</v>
      </c>
    </row>
    <row r="548" spans="1:12" s="53" customFormat="1" ht="20.100000000000001" customHeight="1" x14ac:dyDescent="0.25">
      <c r="A548" s="327"/>
      <c r="B548" s="322"/>
      <c r="C548" s="16">
        <f>C547*0.0214</f>
        <v>166.42824899231238</v>
      </c>
      <c r="D548" s="16">
        <f t="shared" ref="D548:J548" si="308">D547*0.0214</f>
        <v>216.99457636479931</v>
      </c>
      <c r="E548" s="16">
        <f t="shared" si="308"/>
        <v>25.61787514711293</v>
      </c>
      <c r="F548" s="16">
        <f t="shared" si="308"/>
        <v>16.318664237061089</v>
      </c>
      <c r="G548" s="16">
        <f t="shared" si="308"/>
        <v>40.773116785207598</v>
      </c>
      <c r="H548" s="16">
        <f t="shared" si="308"/>
        <v>17.614200390490524</v>
      </c>
      <c r="I548" s="16">
        <f t="shared" si="308"/>
        <v>98.400601663805745</v>
      </c>
      <c r="J548" s="16">
        <f t="shared" si="308"/>
        <v>85.32943741380052</v>
      </c>
      <c r="K548" s="16" t="s">
        <v>131</v>
      </c>
      <c r="L548" s="15" t="s">
        <v>131</v>
      </c>
    </row>
    <row r="549" spans="1:12" s="53" customFormat="1" ht="20.100000000000001" hidden="1" customHeight="1" x14ac:dyDescent="0.25">
      <c r="A549" s="327"/>
      <c r="B549" s="322"/>
      <c r="C549" s="16">
        <f>5572/634</f>
        <v>8.7886435331230288</v>
      </c>
      <c r="D549" s="16">
        <f>4198/317</f>
        <v>13.242902208201892</v>
      </c>
      <c r="E549" s="16">
        <f>1998/634</f>
        <v>3.1514195583596214</v>
      </c>
      <c r="F549" s="16">
        <f>3090/2/634</f>
        <v>2.4369085173501577</v>
      </c>
      <c r="G549" s="16">
        <f>2806/634</f>
        <v>4.4258675078864353</v>
      </c>
      <c r="H549" s="16">
        <f>F549</f>
        <v>2.4369085173501577</v>
      </c>
      <c r="I549" s="16">
        <f>4510/634</f>
        <v>7.1135646687697163</v>
      </c>
      <c r="J549" s="16">
        <f>1202/634</f>
        <v>1.8958990536277602</v>
      </c>
      <c r="K549" s="16" t="s">
        <v>131</v>
      </c>
      <c r="L549" s="15" t="s">
        <v>131</v>
      </c>
    </row>
    <row r="550" spans="1:12" s="53" customFormat="1" ht="20.100000000000001" hidden="1" customHeight="1" thickBot="1" x14ac:dyDescent="0.3">
      <c r="A550" s="327"/>
      <c r="B550" s="322"/>
      <c r="C550" s="18">
        <f>(1/634)*84996.6*1.2*P4</f>
        <v>199.26163738435994</v>
      </c>
      <c r="D550" s="18">
        <f>(1/317)*29749.32*1.2*P4</f>
        <v>139.48553740434997</v>
      </c>
      <c r="E550" s="18">
        <f>(1/634)*56665.08*1.2*P4</f>
        <v>132.84268574643863</v>
      </c>
      <c r="F550" s="19">
        <f>(1/634)*42498.3*1.2*P4</f>
        <v>99.630818692179972</v>
      </c>
      <c r="G550" s="19">
        <f>(1/634)*42498.3*1.2*P4</f>
        <v>99.630818692179972</v>
      </c>
      <c r="H550" s="19">
        <f>(1/634)*42498.3*1.2*P4</f>
        <v>99.630818692179972</v>
      </c>
      <c r="I550" s="19">
        <f>(1/634)*55956.18*1.2*P4</f>
        <v>131.18077721431177</v>
      </c>
      <c r="J550" s="19">
        <f>(1/634)*69414.06*1.2*P4</f>
        <v>162.73073573644356</v>
      </c>
      <c r="K550" s="18" t="s">
        <v>131</v>
      </c>
      <c r="L550" s="20" t="s">
        <v>131</v>
      </c>
    </row>
    <row r="551" spans="1:12" s="53" customFormat="1" ht="20.100000000000001" customHeight="1" thickBot="1" x14ac:dyDescent="0.3">
      <c r="A551" s="327"/>
      <c r="B551" s="323"/>
      <c r="C551" s="18">
        <f>C550+C549</f>
        <v>208.05028091748298</v>
      </c>
      <c r="D551" s="18">
        <f t="shared" ref="D551:J551" si="309">D550+D549</f>
        <v>152.72843961255185</v>
      </c>
      <c r="E551" s="18">
        <f t="shared" si="309"/>
        <v>135.99410530479827</v>
      </c>
      <c r="F551" s="18">
        <f t="shared" si="309"/>
        <v>102.06772720953013</v>
      </c>
      <c r="G551" s="18">
        <f t="shared" si="309"/>
        <v>104.05668620006641</v>
      </c>
      <c r="H551" s="18">
        <f t="shared" si="309"/>
        <v>102.06772720953013</v>
      </c>
      <c r="I551" s="18">
        <f t="shared" si="309"/>
        <v>138.2943418830815</v>
      </c>
      <c r="J551" s="18">
        <f t="shared" si="309"/>
        <v>164.62663479007134</v>
      </c>
      <c r="K551" s="18" t="s">
        <v>131</v>
      </c>
      <c r="L551" s="34" t="s">
        <v>131</v>
      </c>
    </row>
    <row r="552" spans="1:12" s="53" customFormat="1" ht="20.100000000000001" customHeight="1" thickBot="1" x14ac:dyDescent="0.3">
      <c r="A552" s="328"/>
      <c r="B552" s="259" t="s">
        <v>212</v>
      </c>
      <c r="C552" s="36">
        <f>SUM(C547:C550)</f>
        <v>8151.4995108589728</v>
      </c>
      <c r="D552" s="36">
        <f t="shared" ref="D552:J552" si="310">SUM(D547:D550)</f>
        <v>10509.656490967973</v>
      </c>
      <c r="E552" s="36">
        <f t="shared" si="310"/>
        <v>1358.7089499431695</v>
      </c>
      <c r="F552" s="36">
        <f t="shared" si="310"/>
        <v>880.94079504757678</v>
      </c>
      <c r="G552" s="36">
        <f t="shared" si="310"/>
        <v>2050.1156340697412</v>
      </c>
      <c r="H552" s="36">
        <f t="shared" si="310"/>
        <v>942.7754037911667</v>
      </c>
      <c r="I552" s="36">
        <f t="shared" si="310"/>
        <v>4834.8538997994929</v>
      </c>
      <c r="J552" s="36">
        <f t="shared" si="310"/>
        <v>4237.3129606992234</v>
      </c>
      <c r="K552" s="36" t="s">
        <v>131</v>
      </c>
      <c r="L552" s="37" t="s">
        <v>131</v>
      </c>
    </row>
    <row r="553" spans="1:12" s="53" customFormat="1" ht="20.100000000000001" hidden="1" customHeight="1" x14ac:dyDescent="0.25">
      <c r="A553" s="327" t="s">
        <v>1001</v>
      </c>
      <c r="B553" s="321" t="s">
        <v>72</v>
      </c>
      <c r="C553" s="23">
        <v>5584.2651985667044</v>
      </c>
      <c r="D553" s="23">
        <v>5666.6475162500001</v>
      </c>
      <c r="E553" s="23">
        <v>807.10505589856677</v>
      </c>
      <c r="F553" s="23">
        <v>486.5948364939361</v>
      </c>
      <c r="G553" s="23">
        <v>745.54690617420067</v>
      </c>
      <c r="H553" s="23">
        <v>396.64790738699008</v>
      </c>
      <c r="I553" s="23">
        <v>2548.1609235942674</v>
      </c>
      <c r="J553" s="23">
        <v>3334.4247783902979</v>
      </c>
      <c r="K553" s="23">
        <v>829.18368952590959</v>
      </c>
      <c r="L553" s="21" t="s">
        <v>131</v>
      </c>
    </row>
    <row r="554" spans="1:12" s="53" customFormat="1" ht="20.100000000000001" customHeight="1" x14ac:dyDescent="0.25">
      <c r="A554" s="327"/>
      <c r="B554" s="322"/>
      <c r="C554" s="16">
        <f>C553/14.06*19.53*1.039</f>
        <v>8059.3219489189214</v>
      </c>
      <c r="D554" s="16">
        <f t="shared" ref="D554:K554" si="311">D553/14.06*19.53*1.039</f>
        <v>8178.2177386959202</v>
      </c>
      <c r="E554" s="16">
        <f t="shared" si="311"/>
        <v>1164.8299750800336</v>
      </c>
      <c r="F554" s="16">
        <f t="shared" si="311"/>
        <v>702.26328917773162</v>
      </c>
      <c r="G554" s="16">
        <f t="shared" si="311"/>
        <v>1075.9880362452236</v>
      </c>
      <c r="H554" s="16">
        <f t="shared" si="311"/>
        <v>572.45010262356789</v>
      </c>
      <c r="I554" s="16">
        <f t="shared" si="311"/>
        <v>3677.5562281984407</v>
      </c>
      <c r="J554" s="16">
        <f t="shared" si="311"/>
        <v>4812.3077697666467</v>
      </c>
      <c r="K554" s="16">
        <f t="shared" si="311"/>
        <v>1196.6942956786779</v>
      </c>
      <c r="L554" s="15" t="s">
        <v>131</v>
      </c>
    </row>
    <row r="555" spans="1:12" s="53" customFormat="1" ht="20.100000000000001" customHeight="1" x14ac:dyDescent="0.25">
      <c r="A555" s="327"/>
      <c r="B555" s="322"/>
      <c r="C555" s="35">
        <f>C554*0.0214</f>
        <v>172.46948970686492</v>
      </c>
      <c r="D555" s="35">
        <f t="shared" ref="D555:K555" si="312">D554*0.0214</f>
        <v>175.01385960809267</v>
      </c>
      <c r="E555" s="35">
        <f t="shared" si="312"/>
        <v>24.927361466712718</v>
      </c>
      <c r="F555" s="35">
        <f t="shared" si="312"/>
        <v>15.028434388403456</v>
      </c>
      <c r="G555" s="35">
        <f t="shared" si="312"/>
        <v>23.026143975647784</v>
      </c>
      <c r="H555" s="35">
        <f t="shared" si="312"/>
        <v>12.250432196144352</v>
      </c>
      <c r="I555" s="35">
        <f t="shared" si="312"/>
        <v>78.699703283446624</v>
      </c>
      <c r="J555" s="35">
        <f t="shared" si="312"/>
        <v>102.98338627300623</v>
      </c>
      <c r="K555" s="35">
        <f t="shared" si="312"/>
        <v>25.609257927523707</v>
      </c>
      <c r="L555" s="62" t="s">
        <v>131</v>
      </c>
    </row>
    <row r="556" spans="1:12" s="53" customFormat="1" ht="20.100000000000001" hidden="1" customHeight="1" x14ac:dyDescent="0.25">
      <c r="A556" s="327"/>
      <c r="B556" s="322"/>
      <c r="C556" s="16">
        <f>7127/907</f>
        <v>7.8577728776185225</v>
      </c>
      <c r="D556" s="16">
        <f>5337/317</f>
        <v>16.835962145110411</v>
      </c>
      <c r="E556" s="16">
        <f>2695/907</f>
        <v>2.9713340683572218</v>
      </c>
      <c r="F556" s="16">
        <f>4259/2/907</f>
        <v>2.3478500551267918</v>
      </c>
      <c r="G556" s="16">
        <f>3853/907</f>
        <v>4.2480705622932744</v>
      </c>
      <c r="H556" s="16">
        <f>F556</f>
        <v>2.3478500551267918</v>
      </c>
      <c r="I556" s="16">
        <f>6292/907</f>
        <v>6.9371554575523708</v>
      </c>
      <c r="J556" s="16">
        <f>1434/907</f>
        <v>1.5810363836824697</v>
      </c>
      <c r="K556" s="16">
        <f>J556</f>
        <v>1.5810363836824697</v>
      </c>
      <c r="L556" s="15" t="s">
        <v>131</v>
      </c>
    </row>
    <row r="557" spans="1:12" s="53" customFormat="1" ht="20.100000000000001" hidden="1" customHeight="1" thickBot="1" x14ac:dyDescent="0.3">
      <c r="A557" s="327"/>
      <c r="B557" s="322"/>
      <c r="C557" s="18">
        <f>(1/907)*126782.94*1.2*P4</f>
        <v>207.761432209064</v>
      </c>
      <c r="D557" s="18">
        <f>(1/907)*107765.04*1.2*P4</f>
        <v>176.59646520633666</v>
      </c>
      <c r="E557" s="18">
        <f>(1/907)*84522.3*1.2*P4</f>
        <v>138.50817863668541</v>
      </c>
      <c r="F557" s="18">
        <f>(1/907)*63390.96*1.2*P4</f>
        <v>103.87988035856786</v>
      </c>
      <c r="G557" s="19">
        <f>(1/907)*63390.96*1.2*P4</f>
        <v>103.87988035856786</v>
      </c>
      <c r="H557" s="19">
        <f>(1/907)*63390.96*1.2*P4</f>
        <v>103.87988035856786</v>
      </c>
      <c r="I557" s="19">
        <f>(1/907)*83465.58*1.2*P4</f>
        <v>136.77651299899028</v>
      </c>
      <c r="J557" s="19">
        <f>(1/907)*103539.18*1.2*P4</f>
        <v>169.67147414748445</v>
      </c>
      <c r="K557" s="18">
        <f>(1/907)*44374.08*1.2*P4</f>
        <v>72.7165848477688</v>
      </c>
      <c r="L557" s="34" t="s">
        <v>131</v>
      </c>
    </row>
    <row r="558" spans="1:12" s="53" customFormat="1" ht="20.100000000000001" customHeight="1" thickBot="1" x14ac:dyDescent="0.3">
      <c r="A558" s="327"/>
      <c r="B558" s="323"/>
      <c r="C558" s="17">
        <f>C557+C556</f>
        <v>215.61920508668251</v>
      </c>
      <c r="D558" s="17">
        <f t="shared" ref="D558:K558" si="313">D557+D556</f>
        <v>193.43242735144707</v>
      </c>
      <c r="E558" s="17">
        <f t="shared" si="313"/>
        <v>141.47951270504262</v>
      </c>
      <c r="F558" s="17">
        <f t="shared" si="313"/>
        <v>106.22773041369466</v>
      </c>
      <c r="G558" s="17">
        <f t="shared" si="313"/>
        <v>108.12795092086114</v>
      </c>
      <c r="H558" s="17">
        <f t="shared" si="313"/>
        <v>106.22773041369466</v>
      </c>
      <c r="I558" s="17">
        <f t="shared" si="313"/>
        <v>143.71366845654265</v>
      </c>
      <c r="J558" s="17">
        <f t="shared" si="313"/>
        <v>171.25251053116691</v>
      </c>
      <c r="K558" s="17">
        <f t="shared" si="313"/>
        <v>74.297621231451274</v>
      </c>
      <c r="L558" s="34" t="s">
        <v>131</v>
      </c>
    </row>
    <row r="559" spans="1:12" s="53" customFormat="1" ht="20.100000000000001" customHeight="1" thickBot="1" x14ac:dyDescent="0.3">
      <c r="A559" s="328"/>
      <c r="B559" s="259" t="s">
        <v>212</v>
      </c>
      <c r="C559" s="268">
        <f>SUM(C554:C557)</f>
        <v>8447.4106437124701</v>
      </c>
      <c r="D559" s="268">
        <f t="shared" ref="D559:K559" si="314">SUM(D554:D557)</f>
        <v>8546.6640256554601</v>
      </c>
      <c r="E559" s="268">
        <f t="shared" si="314"/>
        <v>1331.236849251789</v>
      </c>
      <c r="F559" s="268">
        <f t="shared" si="314"/>
        <v>823.51945397982968</v>
      </c>
      <c r="G559" s="268">
        <f t="shared" si="314"/>
        <v>1207.1421311417325</v>
      </c>
      <c r="H559" s="268">
        <f t="shared" si="314"/>
        <v>690.92826523340693</v>
      </c>
      <c r="I559" s="268">
        <f t="shared" si="314"/>
        <v>3899.9695999384298</v>
      </c>
      <c r="J559" s="268">
        <f t="shared" si="314"/>
        <v>5086.5436665708203</v>
      </c>
      <c r="K559" s="268">
        <f t="shared" si="314"/>
        <v>1296.6011748376529</v>
      </c>
      <c r="L559" s="37" t="s">
        <v>131</v>
      </c>
    </row>
    <row r="560" spans="1:12" s="53" customFormat="1" ht="20.100000000000001" hidden="1" customHeight="1" thickBot="1" x14ac:dyDescent="0.3">
      <c r="A560" s="327" t="s">
        <v>1002</v>
      </c>
      <c r="B560" s="321" t="s">
        <v>73</v>
      </c>
      <c r="C560" s="9">
        <v>5635.8418864639834</v>
      </c>
      <c r="D560" s="9">
        <v>7488.6128878651689</v>
      </c>
      <c r="E560" s="9">
        <v>814.55912105924119</v>
      </c>
      <c r="F560" s="9">
        <v>491.08881800659896</v>
      </c>
      <c r="G560" s="9">
        <v>1273.5511198397683</v>
      </c>
      <c r="H560" s="9">
        <v>400.31116852742883</v>
      </c>
      <c r="I560" s="9">
        <v>2571.6946230110161</v>
      </c>
      <c r="J560" s="9">
        <v>3365.2200722403591</v>
      </c>
      <c r="K560" s="9">
        <v>836.84167168002057</v>
      </c>
      <c r="L560" s="21" t="s">
        <v>131</v>
      </c>
    </row>
    <row r="561" spans="1:12" s="53" customFormat="1" ht="20.100000000000001" customHeight="1" x14ac:dyDescent="0.25">
      <c r="A561" s="327"/>
      <c r="B561" s="322"/>
      <c r="C561" s="10">
        <f>C560/14.06*19.53*1.039</f>
        <v>8133.7584446873825</v>
      </c>
      <c r="D561" s="10">
        <f t="shared" ref="D561:K561" si="315">D560/14.06*19.53*1.039</f>
        <v>10807.714187646303</v>
      </c>
      <c r="E561" s="10">
        <f t="shared" si="315"/>
        <v>1175.5878293047065</v>
      </c>
      <c r="F561" s="10">
        <f t="shared" si="315"/>
        <v>708.7490921536247</v>
      </c>
      <c r="G561" s="10">
        <f t="shared" si="315"/>
        <v>1838.014157319988</v>
      </c>
      <c r="H561" s="10">
        <f t="shared" si="315"/>
        <v>577.73699353292818</v>
      </c>
      <c r="I561" s="10">
        <f t="shared" si="315"/>
        <v>3711.5205285145053</v>
      </c>
      <c r="J561" s="10">
        <f t="shared" si="315"/>
        <v>4856.7521467480456</v>
      </c>
      <c r="K561" s="10">
        <f t="shared" si="315"/>
        <v>1207.7464469402078</v>
      </c>
      <c r="L561" s="21" t="s">
        <v>131</v>
      </c>
    </row>
    <row r="562" spans="1:12" s="53" customFormat="1" ht="20.100000000000001" customHeight="1" x14ac:dyDescent="0.25">
      <c r="A562" s="327"/>
      <c r="B562" s="322"/>
      <c r="C562" s="16">
        <f>C561*0.0214</f>
        <v>174.06243071630999</v>
      </c>
      <c r="D562" s="16">
        <f t="shared" ref="D562:K562" si="316">D561*0.0214</f>
        <v>231.28508361563087</v>
      </c>
      <c r="E562" s="16">
        <f t="shared" si="316"/>
        <v>25.157579547120719</v>
      </c>
      <c r="F562" s="16">
        <f t="shared" si="316"/>
        <v>15.167230572087568</v>
      </c>
      <c r="G562" s="16">
        <f t="shared" si="316"/>
        <v>39.333502966647742</v>
      </c>
      <c r="H562" s="16">
        <f t="shared" si="316"/>
        <v>12.363571661604663</v>
      </c>
      <c r="I562" s="16">
        <f t="shared" si="316"/>
        <v>79.426539310210401</v>
      </c>
      <c r="J562" s="16">
        <f t="shared" si="316"/>
        <v>103.93449594040817</v>
      </c>
      <c r="K562" s="16">
        <f t="shared" si="316"/>
        <v>25.845773964520443</v>
      </c>
      <c r="L562" s="15" t="s">
        <v>131</v>
      </c>
    </row>
    <row r="563" spans="1:12" s="53" customFormat="1" ht="20.100000000000001" hidden="1" customHeight="1" x14ac:dyDescent="0.25">
      <c r="A563" s="327"/>
      <c r="B563" s="322"/>
      <c r="C563" s="16">
        <f>7061/898.6</f>
        <v>7.857778766970843</v>
      </c>
      <c r="D563" s="16">
        <f>5288/300</f>
        <v>17.626666666666665</v>
      </c>
      <c r="E563" s="16">
        <f>2672/898.6</f>
        <v>2.9735143556643666</v>
      </c>
      <c r="F563" s="16">
        <f>4220/2/898.6</f>
        <v>2.3480970398397507</v>
      </c>
      <c r="G563" s="16">
        <f>3817/898.6</f>
        <v>4.2477186734920984</v>
      </c>
      <c r="H563" s="16">
        <f>F563</f>
        <v>2.3480970398397507</v>
      </c>
      <c r="I563" s="16">
        <f>6233/898.6</f>
        <v>6.936345426218562</v>
      </c>
      <c r="J563" s="16">
        <f>1422/898.6</f>
        <v>1.5824616069441353</v>
      </c>
      <c r="K563" s="16">
        <f>J563</f>
        <v>1.5824616069441353</v>
      </c>
      <c r="L563" s="15" t="s">
        <v>131</v>
      </c>
    </row>
    <row r="564" spans="1:12" s="53" customFormat="1" ht="20.100000000000001" hidden="1" customHeight="1" thickBot="1" x14ac:dyDescent="0.3">
      <c r="A564" s="327"/>
      <c r="B564" s="322"/>
      <c r="C564" s="17">
        <f>(1/898.7)*126647.28*1.2*P4</f>
        <v>209.4558643271626</v>
      </c>
      <c r="D564" s="18">
        <f>(1/300)*44326.14*1.2*P4</f>
        <v>219.60896142505263</v>
      </c>
      <c r="E564" s="18">
        <f>(1/898.7)*84431.52*1.2*P4</f>
        <v>139.63724288477508</v>
      </c>
      <c r="F564" s="18">
        <f>(1/898.7)*63323.64*1.2*P4</f>
        <v>104.7279321635813</v>
      </c>
      <c r="G564" s="19">
        <f>(1/898.7)*63323.64*1.2*P4</f>
        <v>104.7279321635813</v>
      </c>
      <c r="H564" s="19">
        <f>(1/898.7)*63323.64*1.2*P4</f>
        <v>104.7279321635813</v>
      </c>
      <c r="I564" s="19">
        <f>(1/898.7)*83375.82*1.2*P4</f>
        <v>137.89127126998645</v>
      </c>
      <c r="J564" s="19">
        <f>(1/898.7)*103428*1.2*P4</f>
        <v>171.05461037639159</v>
      </c>
      <c r="K564" s="18">
        <f>(1/898.7)*44326.14*1.2*P4</f>
        <v>73.308877742868333</v>
      </c>
      <c r="L564" s="15" t="s">
        <v>131</v>
      </c>
    </row>
    <row r="565" spans="1:12" s="53" customFormat="1" ht="20.100000000000001" customHeight="1" thickBot="1" x14ac:dyDescent="0.3">
      <c r="A565" s="327"/>
      <c r="B565" s="323"/>
      <c r="C565" s="17">
        <f>C564+C563</f>
        <v>217.31364309413345</v>
      </c>
      <c r="D565" s="17">
        <f t="shared" ref="D565:K565" si="317">D564+D563</f>
        <v>237.23562809171929</v>
      </c>
      <c r="E565" s="17">
        <f t="shared" si="317"/>
        <v>142.61075724043945</v>
      </c>
      <c r="F565" s="17">
        <f t="shared" si="317"/>
        <v>107.07602920342106</v>
      </c>
      <c r="G565" s="17">
        <f t="shared" si="317"/>
        <v>108.9756508370734</v>
      </c>
      <c r="H565" s="17">
        <f t="shared" si="317"/>
        <v>107.07602920342106</v>
      </c>
      <c r="I565" s="17">
        <f t="shared" si="317"/>
        <v>144.82761669620501</v>
      </c>
      <c r="J565" s="17">
        <f t="shared" si="317"/>
        <v>172.63707198333572</v>
      </c>
      <c r="K565" s="17">
        <f t="shared" si="317"/>
        <v>74.891339349812469</v>
      </c>
      <c r="L565" s="26" t="s">
        <v>131</v>
      </c>
    </row>
    <row r="566" spans="1:12" s="53" customFormat="1" ht="20.100000000000001" customHeight="1" thickBot="1" x14ac:dyDescent="0.3">
      <c r="A566" s="328"/>
      <c r="B566" s="265" t="s">
        <v>212</v>
      </c>
      <c r="C566" s="17">
        <f>SUM(C561:C564)</f>
        <v>8525.1345184978272</v>
      </c>
      <c r="D566" s="17">
        <f t="shared" ref="D566:K566" si="318">SUM(D561:D564)</f>
        <v>11276.234899353653</v>
      </c>
      <c r="E566" s="17">
        <f t="shared" si="318"/>
        <v>1343.3561660922667</v>
      </c>
      <c r="F566" s="17">
        <f t="shared" si="318"/>
        <v>830.99235192913329</v>
      </c>
      <c r="G566" s="17">
        <f t="shared" si="318"/>
        <v>1986.3233111237091</v>
      </c>
      <c r="H566" s="17">
        <f t="shared" si="318"/>
        <v>697.17659439795386</v>
      </c>
      <c r="I566" s="17">
        <f t="shared" si="318"/>
        <v>3935.7746845209208</v>
      </c>
      <c r="J566" s="17">
        <f t="shared" si="318"/>
        <v>5133.3237146717893</v>
      </c>
      <c r="K566" s="17">
        <f t="shared" si="318"/>
        <v>1308.4835602545409</v>
      </c>
      <c r="L566" s="37" t="s">
        <v>131</v>
      </c>
    </row>
    <row r="567" spans="1:12" s="53" customFormat="1" ht="20.100000000000001" hidden="1" customHeight="1" thickBot="1" x14ac:dyDescent="0.3">
      <c r="A567" s="327" t="s">
        <v>1003</v>
      </c>
      <c r="B567" s="321" t="s">
        <v>74</v>
      </c>
      <c r="C567" s="9">
        <v>6061.5657878787879</v>
      </c>
      <c r="D567" s="9">
        <v>5667.0665275000001</v>
      </c>
      <c r="E567" s="9">
        <v>923.17605757575757</v>
      </c>
      <c r="F567" s="9">
        <v>642.87015757575762</v>
      </c>
      <c r="G567" s="9">
        <v>977.45238181818172</v>
      </c>
      <c r="H567" s="9">
        <v>747.24378484848489</v>
      </c>
      <c r="I567" s="9">
        <v>712.14527575757575</v>
      </c>
      <c r="J567" s="9">
        <v>2988.2335636363637</v>
      </c>
      <c r="K567" s="9">
        <v>660.87053030303036</v>
      </c>
      <c r="L567" s="20" t="s">
        <v>131</v>
      </c>
    </row>
    <row r="568" spans="1:12" s="53" customFormat="1" ht="20.100000000000001" customHeight="1" x14ac:dyDescent="0.25">
      <c r="A568" s="327"/>
      <c r="B568" s="322"/>
      <c r="C568" s="10">
        <f>C567/14.06*19.53*1.039</f>
        <v>8748.1715967941927</v>
      </c>
      <c r="D568" s="10">
        <f t="shared" ref="D568:K568" si="319">D567/14.06*19.53*1.039</f>
        <v>8178.8224640167791</v>
      </c>
      <c r="E568" s="10">
        <f t="shared" si="319"/>
        <v>1332.3459397032912</v>
      </c>
      <c r="F568" s="10">
        <f t="shared" si="319"/>
        <v>927.80292250179764</v>
      </c>
      <c r="G568" s="10">
        <f t="shared" si="319"/>
        <v>1410.6786040233671</v>
      </c>
      <c r="H568" s="10">
        <f t="shared" si="319"/>
        <v>1078.4370050993211</v>
      </c>
      <c r="I568" s="10">
        <f t="shared" si="319"/>
        <v>1027.78214279742</v>
      </c>
      <c r="J568" s="10">
        <f t="shared" si="319"/>
        <v>4312.6777636012157</v>
      </c>
      <c r="K568" s="10">
        <f t="shared" si="319"/>
        <v>953.78141633243899</v>
      </c>
      <c r="L568" s="26" t="s">
        <v>131</v>
      </c>
    </row>
    <row r="569" spans="1:12" s="53" customFormat="1" ht="20.100000000000001" customHeight="1" x14ac:dyDescent="0.25">
      <c r="A569" s="327"/>
      <c r="B569" s="322"/>
      <c r="C569" s="16">
        <f>C568*0.0214</f>
        <v>187.21087217139572</v>
      </c>
      <c r="D569" s="16">
        <f t="shared" ref="D569:K569" si="320">D568*0.0214</f>
        <v>175.02680072995906</v>
      </c>
      <c r="E569" s="16">
        <f t="shared" si="320"/>
        <v>28.512203109650429</v>
      </c>
      <c r="F569" s="16">
        <f t="shared" si="320"/>
        <v>19.854982541538469</v>
      </c>
      <c r="G569" s="16">
        <f t="shared" si="320"/>
        <v>30.188522126100054</v>
      </c>
      <c r="H569" s="16">
        <f t="shared" si="320"/>
        <v>23.078551909125473</v>
      </c>
      <c r="I569" s="16">
        <f t="shared" si="320"/>
        <v>21.994537855864785</v>
      </c>
      <c r="J569" s="16">
        <f t="shared" si="320"/>
        <v>92.291304141066007</v>
      </c>
      <c r="K569" s="16">
        <f t="shared" si="320"/>
        <v>20.410922309514195</v>
      </c>
      <c r="L569" s="15" t="s">
        <v>131</v>
      </c>
    </row>
    <row r="570" spans="1:12" s="53" customFormat="1" ht="20.100000000000001" hidden="1" customHeight="1" x14ac:dyDescent="0.25">
      <c r="A570" s="327"/>
      <c r="B570" s="322"/>
      <c r="C570" s="16">
        <f>6327/891</f>
        <v>7.1010101010101012</v>
      </c>
      <c r="D570" s="16">
        <f>4744/234</f>
        <v>20.273504273504273</v>
      </c>
      <c r="E570" s="16">
        <f>2651/891</f>
        <v>2.9753086419753085</v>
      </c>
      <c r="F570" s="16">
        <f>4188/2/891</f>
        <v>2.3501683501683504</v>
      </c>
      <c r="G570" s="16">
        <f>3789/891</f>
        <v>4.2525252525252526</v>
      </c>
      <c r="H570" s="16">
        <f>F570</f>
        <v>2.3501683501683504</v>
      </c>
      <c r="I570" s="16">
        <f>6185/891</f>
        <v>6.9416386083052748</v>
      </c>
      <c r="J570" s="16">
        <f>1291/891</f>
        <v>1.4489337822671156</v>
      </c>
      <c r="K570" s="16">
        <f>J570</f>
        <v>1.4489337822671156</v>
      </c>
      <c r="L570" s="15" t="s">
        <v>131</v>
      </c>
    </row>
    <row r="571" spans="1:12" s="53" customFormat="1" ht="20.100000000000001" hidden="1" customHeight="1" thickBot="1" x14ac:dyDescent="0.3">
      <c r="A571" s="327"/>
      <c r="B571" s="322"/>
      <c r="C571" s="17">
        <f>(1/891)*180496.14/1.5*1.2*P4</f>
        <v>200.72910798128657</v>
      </c>
      <c r="D571" s="18">
        <f>(1/891)*153422.28/1.5*1.2*P4</f>
        <v>170.62036567017543</v>
      </c>
      <c r="E571" s="18">
        <f>(1/891)*120331.44/1.5*1.2*P4</f>
        <v>133.82016154641147</v>
      </c>
      <c r="F571" s="18">
        <f>(1/891)*90248.58/1.5*1.2*P4</f>
        <v>100.36512115980861</v>
      </c>
      <c r="G571" s="18">
        <f>(1/891)*90248.58/1.5*1.2*P4</f>
        <v>100.36512115980861</v>
      </c>
      <c r="H571" s="18">
        <f>(1/891)*90248.58/1.5*1.2*P4</f>
        <v>100.36512115980861</v>
      </c>
      <c r="I571" s="19">
        <f>(1/891)*116497/1.5*1.2*P4</f>
        <v>129.5558946163388</v>
      </c>
      <c r="J571" s="19">
        <f>(1/891)*147405.3/1.5*1.2*P4</f>
        <v>163.92890385752256</v>
      </c>
      <c r="K571" s="18">
        <f>(1/891)*63173.7/1.5*1.2*P4</f>
        <v>70.255244510366822</v>
      </c>
      <c r="L571" s="20" t="s">
        <v>131</v>
      </c>
    </row>
    <row r="572" spans="1:12" s="53" customFormat="1" ht="20.100000000000001" customHeight="1" thickBot="1" x14ac:dyDescent="0.3">
      <c r="A572" s="327"/>
      <c r="B572" s="323"/>
      <c r="C572" s="17">
        <f>C571+C570</f>
        <v>207.83011808229668</v>
      </c>
      <c r="D572" s="17">
        <f t="shared" ref="D572:K572" si="321">D571+D570</f>
        <v>190.8938699436797</v>
      </c>
      <c r="E572" s="17">
        <f t="shared" si="321"/>
        <v>136.79547018838679</v>
      </c>
      <c r="F572" s="17">
        <f t="shared" si="321"/>
        <v>102.71528950997696</v>
      </c>
      <c r="G572" s="17">
        <f t="shared" si="321"/>
        <v>104.61764641233387</v>
      </c>
      <c r="H572" s="17">
        <f t="shared" si="321"/>
        <v>102.71528950997696</v>
      </c>
      <c r="I572" s="17">
        <f t="shared" si="321"/>
        <v>136.49753322464409</v>
      </c>
      <c r="J572" s="17">
        <f t="shared" si="321"/>
        <v>165.37783763978967</v>
      </c>
      <c r="K572" s="17">
        <f t="shared" si="321"/>
        <v>71.704178292633941</v>
      </c>
      <c r="L572" s="34" t="s">
        <v>131</v>
      </c>
    </row>
    <row r="573" spans="1:12" s="53" customFormat="1" ht="20.100000000000001" customHeight="1" thickBot="1" x14ac:dyDescent="0.3">
      <c r="A573" s="328"/>
      <c r="B573" s="265" t="s">
        <v>212</v>
      </c>
      <c r="C573" s="36">
        <f>SUM(C568:C571)</f>
        <v>9143.2125870478849</v>
      </c>
      <c r="D573" s="36">
        <f t="shared" ref="D573:K573" si="322">SUM(D568:D571)</f>
        <v>8544.7431346904159</v>
      </c>
      <c r="E573" s="36">
        <f t="shared" si="322"/>
        <v>1497.6536130013285</v>
      </c>
      <c r="F573" s="36">
        <f t="shared" si="322"/>
        <v>1050.3731945533132</v>
      </c>
      <c r="G573" s="36">
        <f t="shared" si="322"/>
        <v>1545.484772561801</v>
      </c>
      <c r="H573" s="36">
        <f t="shared" si="322"/>
        <v>1204.2308465184237</v>
      </c>
      <c r="I573" s="36">
        <f t="shared" si="322"/>
        <v>1186.2742138779288</v>
      </c>
      <c r="J573" s="36">
        <f t="shared" si="322"/>
        <v>4570.3469053820709</v>
      </c>
      <c r="K573" s="36">
        <f t="shared" si="322"/>
        <v>1045.896516934587</v>
      </c>
      <c r="L573" s="34" t="s">
        <v>131</v>
      </c>
    </row>
    <row r="574" spans="1:12" s="53" customFormat="1" ht="20.100000000000001" hidden="1" customHeight="1" thickBot="1" x14ac:dyDescent="0.3">
      <c r="A574" s="327" t="s">
        <v>1004</v>
      </c>
      <c r="B574" s="321" t="s">
        <v>167</v>
      </c>
      <c r="C574" s="35">
        <v>6103.3025380645167</v>
      </c>
      <c r="D574" s="35">
        <v>7535.3602297912721</v>
      </c>
      <c r="E574" s="35">
        <v>930.3135077419355</v>
      </c>
      <c r="F574" s="35">
        <v>647.84165419354838</v>
      </c>
      <c r="G574" s="35">
        <v>989.07406838709676</v>
      </c>
      <c r="H574" s="35">
        <v>753.02199677419355</v>
      </c>
      <c r="I574" s="35">
        <v>730.6033180645162</v>
      </c>
      <c r="J574" s="35">
        <v>3011.4692593548389</v>
      </c>
      <c r="K574" s="35">
        <v>665.98577612903227</v>
      </c>
      <c r="L574" s="20" t="s">
        <v>131</v>
      </c>
    </row>
    <row r="575" spans="1:12" s="53" customFormat="1" ht="20.100000000000001" customHeight="1" x14ac:dyDescent="0.25">
      <c r="A575" s="327"/>
      <c r="B575" s="322"/>
      <c r="C575" s="10">
        <f>C574/14.06*19.53*1.039</f>
        <v>8808.406899898122</v>
      </c>
      <c r="D575" s="10">
        <f t="shared" ref="D575:K575" si="323">D574/14.06*19.53*1.039</f>
        <v>10875.180875821385</v>
      </c>
      <c r="E575" s="10">
        <f t="shared" si="323"/>
        <v>1342.6468489076672</v>
      </c>
      <c r="F575" s="10">
        <f t="shared" si="323"/>
        <v>934.97788471903266</v>
      </c>
      <c r="G575" s="10">
        <f t="shared" si="323"/>
        <v>1427.4512518683073</v>
      </c>
      <c r="H575" s="10">
        <f t="shared" si="323"/>
        <v>1086.7762347996443</v>
      </c>
      <c r="I575" s="10">
        <f t="shared" si="323"/>
        <v>1054.4211544146658</v>
      </c>
      <c r="J575" s="10">
        <f t="shared" si="323"/>
        <v>4346.2119790876814</v>
      </c>
      <c r="K575" s="10">
        <f t="shared" si="323"/>
        <v>961.16384024923195</v>
      </c>
      <c r="L575" s="26" t="s">
        <v>131</v>
      </c>
    </row>
    <row r="576" spans="1:12" s="53" customFormat="1" ht="20.100000000000001" customHeight="1" x14ac:dyDescent="0.25">
      <c r="A576" s="327"/>
      <c r="B576" s="322"/>
      <c r="C576" s="16">
        <f>C575*0.0214</f>
        <v>188.49990765781979</v>
      </c>
      <c r="D576" s="16">
        <f t="shared" ref="D576:K576" si="324">D575*0.0214</f>
        <v>232.72887074257761</v>
      </c>
      <c r="E576" s="16">
        <f t="shared" si="324"/>
        <v>28.732642566624076</v>
      </c>
      <c r="F576" s="16">
        <f t="shared" si="324"/>
        <v>20.008526732987299</v>
      </c>
      <c r="G576" s="16">
        <f t="shared" si="324"/>
        <v>30.547456789981773</v>
      </c>
      <c r="H576" s="16">
        <f t="shared" si="324"/>
        <v>23.257011424712385</v>
      </c>
      <c r="I576" s="16">
        <f t="shared" si="324"/>
        <v>22.564612704473848</v>
      </c>
      <c r="J576" s="16">
        <f t="shared" si="324"/>
        <v>93.008936352476383</v>
      </c>
      <c r="K576" s="16">
        <f t="shared" si="324"/>
        <v>20.568906181333563</v>
      </c>
      <c r="L576" s="15" t="s">
        <v>131</v>
      </c>
    </row>
    <row r="577" spans="1:12" s="53" customFormat="1" ht="20.100000000000001" hidden="1" customHeight="1" x14ac:dyDescent="0.25">
      <c r="A577" s="327"/>
      <c r="B577" s="322"/>
      <c r="C577" s="16">
        <f>12576/1791.1</f>
        <v>7.0213835073418576</v>
      </c>
      <c r="D577" s="16">
        <f>9394/448</f>
        <v>20.96875</v>
      </c>
      <c r="E577" s="16">
        <f>5189/1791.1</f>
        <v>2.8971023393445372</v>
      </c>
      <c r="F577" s="16">
        <f>11488/2/1791.1</f>
        <v>3.2069677851599576</v>
      </c>
      <c r="G577" s="16">
        <f>8277/1791.1</f>
        <v>4.621182513539166</v>
      </c>
      <c r="H577" s="16">
        <f>F577</f>
        <v>3.2069677851599576</v>
      </c>
      <c r="I577" s="16">
        <f>20317/1791.1</f>
        <v>11.343308581318743</v>
      </c>
      <c r="J577" s="16">
        <f>2454/1791.1</f>
        <v>1.3701077550108873</v>
      </c>
      <c r="K577" s="16">
        <f>J577</f>
        <v>1.3701077550108873</v>
      </c>
      <c r="L577" s="15" t="s">
        <v>131</v>
      </c>
    </row>
    <row r="578" spans="1:12" s="53" customFormat="1" ht="20.100000000000001" hidden="1" customHeight="1" thickBot="1" x14ac:dyDescent="0.3">
      <c r="A578" s="327"/>
      <c r="B578" s="322"/>
      <c r="C578" s="17">
        <f>162.336894944425*P4</f>
        <v>201.07005087580967</v>
      </c>
      <c r="D578" s="18">
        <f>129.56*P4</f>
        <v>160.47267505263156</v>
      </c>
      <c r="E578" s="18">
        <f>108.224596629616*P4</f>
        <v>134.04670058387228</v>
      </c>
      <c r="F578" s="18">
        <f>81.1684474722123*P4</f>
        <v>100.53502543790459</v>
      </c>
      <c r="G578" s="18">
        <f>81.1684474722123*P4</f>
        <v>100.53502543790459</v>
      </c>
      <c r="H578" s="18">
        <f>81.1684474722123*P4</f>
        <v>100.53502543790459</v>
      </c>
      <c r="I578" s="19">
        <f>106.872008605235*P4</f>
        <v>132.37138861631615</v>
      </c>
      <c r="J578" s="19">
        <f>132.575569738257*P4</f>
        <v>164.20775179472685</v>
      </c>
      <c r="K578" s="18">
        <f>56.818352097526*P4</f>
        <v>70.375061386016498</v>
      </c>
      <c r="L578" s="20" t="s">
        <v>131</v>
      </c>
    </row>
    <row r="579" spans="1:12" s="53" customFormat="1" ht="20.100000000000001" customHeight="1" thickBot="1" x14ac:dyDescent="0.3">
      <c r="A579" s="327"/>
      <c r="B579" s="323"/>
      <c r="C579" s="17">
        <f>C578+C577</f>
        <v>208.09143438315152</v>
      </c>
      <c r="D579" s="17">
        <f t="shared" ref="D579:K579" si="325">D578+D577</f>
        <v>181.44142505263156</v>
      </c>
      <c r="E579" s="17">
        <f t="shared" si="325"/>
        <v>136.94380292321682</v>
      </c>
      <c r="F579" s="17">
        <f t="shared" si="325"/>
        <v>103.74199322306455</v>
      </c>
      <c r="G579" s="17">
        <f t="shared" si="325"/>
        <v>105.15620795144376</v>
      </c>
      <c r="H579" s="17">
        <f t="shared" si="325"/>
        <v>103.74199322306455</v>
      </c>
      <c r="I579" s="17">
        <f t="shared" si="325"/>
        <v>143.71469719763491</v>
      </c>
      <c r="J579" s="17">
        <f t="shared" si="325"/>
        <v>165.57785954973772</v>
      </c>
      <c r="K579" s="17">
        <f t="shared" si="325"/>
        <v>71.74516914102739</v>
      </c>
      <c r="L579" s="34" t="s">
        <v>131</v>
      </c>
    </row>
    <row r="580" spans="1:12" s="53" customFormat="1" ht="20.100000000000001" customHeight="1" thickBot="1" x14ac:dyDescent="0.3">
      <c r="A580" s="328"/>
      <c r="B580" s="265" t="s">
        <v>212</v>
      </c>
      <c r="C580" s="36">
        <f>SUM(C575:C578)</f>
        <v>9204.9982419390944</v>
      </c>
      <c r="D580" s="36">
        <f t="shared" ref="D580:K580" si="326">SUM(D575:D578)</f>
        <v>11289.351171616594</v>
      </c>
      <c r="E580" s="36">
        <f t="shared" si="326"/>
        <v>1508.3232943975079</v>
      </c>
      <c r="F580" s="36">
        <f t="shared" si="326"/>
        <v>1058.7284046750844</v>
      </c>
      <c r="G580" s="36">
        <f t="shared" si="326"/>
        <v>1563.1549166097329</v>
      </c>
      <c r="H580" s="36">
        <f t="shared" si="326"/>
        <v>1213.7752394474212</v>
      </c>
      <c r="I580" s="36">
        <f t="shared" si="326"/>
        <v>1220.7004643167745</v>
      </c>
      <c r="J580" s="36">
        <f t="shared" si="326"/>
        <v>4604.7987749898966</v>
      </c>
      <c r="K580" s="36">
        <f t="shared" si="326"/>
        <v>1053.4779155715928</v>
      </c>
      <c r="L580" s="34" t="s">
        <v>131</v>
      </c>
    </row>
    <row r="581" spans="1:12" s="53" customFormat="1" ht="20.100000000000001" hidden="1" customHeight="1" thickBot="1" x14ac:dyDescent="0.3">
      <c r="A581" s="327" t="s">
        <v>1005</v>
      </c>
      <c r="B581" s="321" t="s">
        <v>168</v>
      </c>
      <c r="C581" s="9">
        <v>6063.5203276097564</v>
      </c>
      <c r="D581" s="9">
        <v>6685.2876294034095</v>
      </c>
      <c r="E581" s="9">
        <v>923.98639814634146</v>
      </c>
      <c r="F581" s="9">
        <v>640.99746029268294</v>
      </c>
      <c r="G581" s="9">
        <v>987.10969990243893</v>
      </c>
      <c r="H581" s="9">
        <v>754.55156341463419</v>
      </c>
      <c r="I581" s="9">
        <v>680.56918214634152</v>
      </c>
      <c r="J581" s="9">
        <v>3004.8421281951223</v>
      </c>
      <c r="K581" s="9">
        <v>630.40075990243906</v>
      </c>
      <c r="L581" s="20" t="s">
        <v>131</v>
      </c>
    </row>
    <row r="582" spans="1:12" s="53" customFormat="1" ht="20.100000000000001" customHeight="1" x14ac:dyDescent="0.25">
      <c r="A582" s="327"/>
      <c r="B582" s="322"/>
      <c r="C582" s="10">
        <f>C581/14.06*19.53*1.039</f>
        <v>8750.9924271798754</v>
      </c>
      <c r="D582" s="10">
        <f t="shared" ref="D582:K582" si="327">D581/14.06*19.53*1.039</f>
        <v>9648.339290962751</v>
      </c>
      <c r="E582" s="10">
        <f t="shared" si="327"/>
        <v>1333.5154392371387</v>
      </c>
      <c r="F582" s="10">
        <f t="shared" si="327"/>
        <v>925.1002087551368</v>
      </c>
      <c r="G582" s="10">
        <f t="shared" si="327"/>
        <v>1424.6162364309616</v>
      </c>
      <c r="H582" s="10">
        <f t="shared" si="327"/>
        <v>1088.983735618338</v>
      </c>
      <c r="I582" s="10">
        <f t="shared" si="327"/>
        <v>982.21090016240782</v>
      </c>
      <c r="J582" s="10">
        <f t="shared" si="327"/>
        <v>4336.647572363664</v>
      </c>
      <c r="K582" s="10">
        <f t="shared" si="327"/>
        <v>909.80684122969581</v>
      </c>
      <c r="L582" s="26" t="s">
        <v>131</v>
      </c>
    </row>
    <row r="583" spans="1:12" s="53" customFormat="1" ht="20.100000000000001" customHeight="1" x14ac:dyDescent="0.25">
      <c r="A583" s="327"/>
      <c r="B583" s="322"/>
      <c r="C583" s="16">
        <f>C582*0.0214</f>
        <v>187.27123794164933</v>
      </c>
      <c r="D583" s="16">
        <f t="shared" ref="D583:K583" si="328">D582*0.0214</f>
        <v>206.47446082660286</v>
      </c>
      <c r="E583" s="16">
        <f t="shared" si="328"/>
        <v>28.537230399674765</v>
      </c>
      <c r="F583" s="16">
        <f t="shared" si="328"/>
        <v>19.797144467359928</v>
      </c>
      <c r="G583" s="16">
        <f t="shared" si="328"/>
        <v>30.486787459622576</v>
      </c>
      <c r="H583" s="16">
        <f t="shared" si="328"/>
        <v>23.30425194223243</v>
      </c>
      <c r="I583" s="16">
        <f t="shared" si="328"/>
        <v>21.019313263475528</v>
      </c>
      <c r="J583" s="16">
        <f t="shared" si="328"/>
        <v>92.804258048582412</v>
      </c>
      <c r="K583" s="16">
        <f t="shared" si="328"/>
        <v>19.469866402315489</v>
      </c>
      <c r="L583" s="15" t="s">
        <v>131</v>
      </c>
    </row>
    <row r="584" spans="1:12" s="53" customFormat="1" ht="20.100000000000001" hidden="1" customHeight="1" x14ac:dyDescent="0.25">
      <c r="A584" s="327"/>
      <c r="B584" s="322"/>
      <c r="C584" s="16">
        <f>24617/4247.9</f>
        <v>5.7950987546787829</v>
      </c>
      <c r="D584" s="16">
        <f>18311/850</f>
        <v>21.542352941176471</v>
      </c>
      <c r="E584" s="16">
        <f>11908/4247.9</f>
        <v>2.803267496880812</v>
      </c>
      <c r="F584" s="16">
        <f>59208/2/4247.9</f>
        <v>6.9690906094776253</v>
      </c>
      <c r="G584" s="16">
        <f>53497/4247.9</f>
        <v>12.593752206972859</v>
      </c>
      <c r="H584" s="16">
        <f>F584</f>
        <v>6.9690906094776253</v>
      </c>
      <c r="I584" s="16">
        <f>63015/4247.9</f>
        <v>14.834388756797477</v>
      </c>
      <c r="J584" s="16">
        <f>4562/4247.9</f>
        <v>1.0739424186068411</v>
      </c>
      <c r="K584" s="16">
        <f>J584</f>
        <v>1.0739424186068411</v>
      </c>
      <c r="L584" s="15" t="s">
        <v>131</v>
      </c>
    </row>
    <row r="585" spans="1:12" s="53" customFormat="1" ht="20.100000000000001" hidden="1" customHeight="1" thickBot="1" x14ac:dyDescent="0.3">
      <c r="A585" s="327"/>
      <c r="B585" s="322"/>
      <c r="C585" s="17">
        <f>153.076115690387*P4</f>
        <v>189.59967406222995</v>
      </c>
      <c r="D585" s="18">
        <f>112.23*P4</f>
        <v>139.00778265789472</v>
      </c>
      <c r="E585" s="18">
        <f>102.051141784129*P4</f>
        <v>126.40027565818589</v>
      </c>
      <c r="F585" s="18">
        <f>76.5383563380969*P4</f>
        <v>94.800206743639606</v>
      </c>
      <c r="G585" s="18">
        <f>76.5383563380969*P4</f>
        <v>94.800206743639606</v>
      </c>
      <c r="H585" s="18">
        <f>76.5383563380969*P4</f>
        <v>94.800206743639606</v>
      </c>
      <c r="I585" s="19">
        <f>100.775383114666*P4</f>
        <v>124.82012432744868</v>
      </c>
      <c r="J585" s="19">
        <f>125.012409891235*P4</f>
        <v>154.84004191125763</v>
      </c>
      <c r="K585" s="18">
        <f>53.5764912451836*P4</f>
        <v>66.359701065517967</v>
      </c>
      <c r="L585" s="20" t="s">
        <v>131</v>
      </c>
    </row>
    <row r="586" spans="1:12" s="53" customFormat="1" ht="20.100000000000001" customHeight="1" thickBot="1" x14ac:dyDescent="0.3">
      <c r="A586" s="327"/>
      <c r="B586" s="323"/>
      <c r="C586" s="17">
        <f>C585+C584</f>
        <v>195.39477281690873</v>
      </c>
      <c r="D586" s="17">
        <f t="shared" ref="D586:K586" si="329">D585+D584</f>
        <v>160.55013559907118</v>
      </c>
      <c r="E586" s="17">
        <f t="shared" si="329"/>
        <v>129.20354315506671</v>
      </c>
      <c r="F586" s="17">
        <f t="shared" si="329"/>
        <v>101.76929735311722</v>
      </c>
      <c r="G586" s="17">
        <f t="shared" si="329"/>
        <v>107.39395895061247</v>
      </c>
      <c r="H586" s="17">
        <f t="shared" si="329"/>
        <v>101.76929735311722</v>
      </c>
      <c r="I586" s="17">
        <f t="shared" si="329"/>
        <v>139.65451308424616</v>
      </c>
      <c r="J586" s="17">
        <f t="shared" si="329"/>
        <v>155.91398432986446</v>
      </c>
      <c r="K586" s="17">
        <f t="shared" si="329"/>
        <v>67.433643484124815</v>
      </c>
      <c r="L586" s="34" t="s">
        <v>131</v>
      </c>
    </row>
    <row r="587" spans="1:12" s="53" customFormat="1" ht="20.100000000000001" customHeight="1" thickBot="1" x14ac:dyDescent="0.3">
      <c r="A587" s="328"/>
      <c r="B587" s="265" t="s">
        <v>212</v>
      </c>
      <c r="C587" s="36">
        <f>SUM(C582:C585)</f>
        <v>9133.6584379384349</v>
      </c>
      <c r="D587" s="36">
        <f t="shared" ref="D587:K587" si="330">SUM(D582:D585)</f>
        <v>10015.363887388425</v>
      </c>
      <c r="E587" s="36">
        <f t="shared" si="330"/>
        <v>1491.2562127918802</v>
      </c>
      <c r="F587" s="36">
        <f t="shared" si="330"/>
        <v>1046.6666505756139</v>
      </c>
      <c r="G587" s="36">
        <f t="shared" si="330"/>
        <v>1562.4969828411965</v>
      </c>
      <c r="H587" s="36">
        <f t="shared" si="330"/>
        <v>1214.0572849136877</v>
      </c>
      <c r="I587" s="36">
        <f t="shared" si="330"/>
        <v>1142.8847265101294</v>
      </c>
      <c r="J587" s="36">
        <f t="shared" si="330"/>
        <v>4585.3658147421111</v>
      </c>
      <c r="K587" s="36">
        <f t="shared" si="330"/>
        <v>996.71035111613605</v>
      </c>
      <c r="L587" s="34" t="s">
        <v>131</v>
      </c>
    </row>
    <row r="588" spans="1:12" s="53" customFormat="1" ht="20.100000000000001" hidden="1" customHeight="1" thickBot="1" x14ac:dyDescent="0.3">
      <c r="A588" s="327" t="s">
        <v>1006</v>
      </c>
      <c r="B588" s="321" t="s">
        <v>169</v>
      </c>
      <c r="C588" s="9">
        <v>6029.8238645861602</v>
      </c>
      <c r="D588" s="9">
        <v>7043.9693544230777</v>
      </c>
      <c r="E588" s="9">
        <v>926.37038141112623</v>
      </c>
      <c r="F588" s="9">
        <v>647.96641465400273</v>
      </c>
      <c r="G588" s="9"/>
      <c r="H588" s="9">
        <v>751.25092550881959</v>
      </c>
      <c r="I588" s="9">
        <v>684.88089565807331</v>
      </c>
      <c r="J588" s="9">
        <v>2985.6271245590233</v>
      </c>
      <c r="K588" s="9" t="s">
        <v>131</v>
      </c>
      <c r="L588" s="20" t="s">
        <v>131</v>
      </c>
    </row>
    <row r="589" spans="1:12" s="53" customFormat="1" ht="20.100000000000001" customHeight="1" x14ac:dyDescent="0.25">
      <c r="A589" s="327"/>
      <c r="B589" s="322"/>
      <c r="C589" s="7">
        <f>C588/12.79*19.53*1.039</f>
        <v>9566.4734963492629</v>
      </c>
      <c r="D589" s="7">
        <f t="shared" ref="D589:J589" si="331">D588/12.79*19.53*1.039</f>
        <v>11175.441878816742</v>
      </c>
      <c r="E589" s="7">
        <f t="shared" si="331"/>
        <v>1469.7108739146761</v>
      </c>
      <c r="F589" s="7">
        <f t="shared" si="331"/>
        <v>1028.0156886037676</v>
      </c>
      <c r="G589" s="7" t="s">
        <v>131</v>
      </c>
      <c r="H589" s="7">
        <f t="shared" si="331"/>
        <v>1191.8792703377287</v>
      </c>
      <c r="I589" s="7">
        <f t="shared" si="331"/>
        <v>1086.5814795932806</v>
      </c>
      <c r="J589" s="7">
        <f t="shared" si="331"/>
        <v>4736.7756336669745</v>
      </c>
      <c r="K589" s="7" t="s">
        <v>131</v>
      </c>
      <c r="L589" s="8" t="s">
        <v>131</v>
      </c>
    </row>
    <row r="590" spans="1:12" s="53" customFormat="1" ht="20.100000000000001" customHeight="1" x14ac:dyDescent="0.25">
      <c r="A590" s="327"/>
      <c r="B590" s="322"/>
      <c r="C590" s="35">
        <f>C589*0.0214</f>
        <v>204.72253282187421</v>
      </c>
      <c r="D590" s="35">
        <f t="shared" ref="D590:J590" si="332">D589*0.0214</f>
        <v>239.15445620667828</v>
      </c>
      <c r="E590" s="35">
        <f t="shared" si="332"/>
        <v>31.451812701774067</v>
      </c>
      <c r="F590" s="35">
        <f t="shared" si="332"/>
        <v>21.999535736120624</v>
      </c>
      <c r="G590" s="35" t="s">
        <v>131</v>
      </c>
      <c r="H590" s="35">
        <f t="shared" si="332"/>
        <v>25.506216385227393</v>
      </c>
      <c r="I590" s="35">
        <f t="shared" si="332"/>
        <v>23.252843663296204</v>
      </c>
      <c r="J590" s="35">
        <f t="shared" si="332"/>
        <v>101.36699856047325</v>
      </c>
      <c r="K590" s="35" t="s">
        <v>131</v>
      </c>
      <c r="L590" s="62" t="s">
        <v>131</v>
      </c>
    </row>
    <row r="591" spans="1:12" s="53" customFormat="1" ht="20.100000000000001" hidden="1" customHeight="1" x14ac:dyDescent="0.25">
      <c r="A591" s="327"/>
      <c r="B591" s="322"/>
      <c r="C591" s="16">
        <f>2558/281.6</f>
        <v>9.0838068181818166</v>
      </c>
      <c r="D591" s="16">
        <f>1948/148</f>
        <v>13.162162162162161</v>
      </c>
      <c r="E591" s="16">
        <f>971/281.6</f>
        <v>3.4481534090909087</v>
      </c>
      <c r="F591" s="16">
        <f>1077/2/281.6</f>
        <v>1.9122869318181817</v>
      </c>
      <c r="G591" s="16" t="s">
        <v>131</v>
      </c>
      <c r="H591" s="16">
        <f>F591</f>
        <v>1.9122869318181817</v>
      </c>
      <c r="I591" s="16">
        <f>1329/281.6</f>
        <v>4.7194602272727266</v>
      </c>
      <c r="J591" s="16">
        <f>617/281.6</f>
        <v>2.1910511363636362</v>
      </c>
      <c r="K591" s="16" t="s">
        <v>131</v>
      </c>
      <c r="L591" s="15" t="s">
        <v>131</v>
      </c>
    </row>
    <row r="592" spans="1:12" s="53" customFormat="1" ht="20.100000000000001" hidden="1" customHeight="1" thickBot="1" x14ac:dyDescent="0.3">
      <c r="A592" s="327"/>
      <c r="B592" s="322"/>
      <c r="C592" s="17">
        <f>P4*141.059650074597</f>
        <v>174.71611137279035</v>
      </c>
      <c r="D592" s="18">
        <f>P4*119.901532619015</f>
        <v>148.50972277156296</v>
      </c>
      <c r="E592" s="18">
        <f>P4*94.0403200868032</f>
        <v>116.4780929849879</v>
      </c>
      <c r="F592" s="18">
        <f>70.5298250372983*P4</f>
        <v>87.358055686394934</v>
      </c>
      <c r="G592" s="79" t="s">
        <v>131</v>
      </c>
      <c r="H592" s="18">
        <f>70.5298250372983*P4</f>
        <v>87.358055686394934</v>
      </c>
      <c r="I592" s="19">
        <f>92.8649613454496*P4</f>
        <v>115.02229674099664</v>
      </c>
      <c r="J592" s="19">
        <f>115.198437542384*P4</f>
        <v>142.68448158621379</v>
      </c>
      <c r="K592" s="18" t="s">
        <v>131</v>
      </c>
      <c r="L592" s="34" t="s">
        <v>131</v>
      </c>
    </row>
    <row r="593" spans="1:12" s="53" customFormat="1" ht="20.100000000000001" customHeight="1" thickBot="1" x14ac:dyDescent="0.3">
      <c r="A593" s="327"/>
      <c r="B593" s="323"/>
      <c r="C593" s="17">
        <f>C592+C591</f>
        <v>183.79991819097216</v>
      </c>
      <c r="D593" s="17">
        <f t="shared" ref="D593:J593" si="333">D592+D591</f>
        <v>161.67188493372512</v>
      </c>
      <c r="E593" s="17">
        <f t="shared" si="333"/>
        <v>119.9262463940788</v>
      </c>
      <c r="F593" s="17">
        <f t="shared" si="333"/>
        <v>89.270342618213121</v>
      </c>
      <c r="G593" s="17" t="s">
        <v>131</v>
      </c>
      <c r="H593" s="17">
        <f t="shared" si="333"/>
        <v>89.270342618213121</v>
      </c>
      <c r="I593" s="17">
        <f t="shared" si="333"/>
        <v>119.74175696826936</v>
      </c>
      <c r="J593" s="17">
        <f t="shared" si="333"/>
        <v>144.87553272257742</v>
      </c>
      <c r="K593" s="18" t="s">
        <v>131</v>
      </c>
      <c r="L593" s="34" t="s">
        <v>131</v>
      </c>
    </row>
    <row r="594" spans="1:12" s="53" customFormat="1" ht="20.100000000000001" customHeight="1" thickBot="1" x14ac:dyDescent="0.3">
      <c r="A594" s="328"/>
      <c r="B594" s="265" t="s">
        <v>212</v>
      </c>
      <c r="C594" s="36">
        <f>SUM(C589:C592)</f>
        <v>9954.9959473621093</v>
      </c>
      <c r="D594" s="36">
        <f t="shared" ref="D594:J594" si="334">SUM(D589:D592)</f>
        <v>11576.268219957145</v>
      </c>
      <c r="E594" s="36">
        <f t="shared" si="334"/>
        <v>1621.088933010529</v>
      </c>
      <c r="F594" s="36">
        <f t="shared" si="334"/>
        <v>1139.2855669581013</v>
      </c>
      <c r="G594" s="36" t="s">
        <v>131</v>
      </c>
      <c r="H594" s="36">
        <f t="shared" si="334"/>
        <v>1306.6558293411692</v>
      </c>
      <c r="I594" s="36">
        <f t="shared" si="334"/>
        <v>1229.5760802248462</v>
      </c>
      <c r="J594" s="36">
        <f t="shared" si="334"/>
        <v>4983.0181649500255</v>
      </c>
      <c r="K594" s="36" t="s">
        <v>131</v>
      </c>
      <c r="L594" s="37" t="s">
        <v>131</v>
      </c>
    </row>
    <row r="595" spans="1:12" s="53" customFormat="1" ht="20.100000000000001" hidden="1" customHeight="1" thickBot="1" x14ac:dyDescent="0.3">
      <c r="A595" s="327" t="s">
        <v>1007</v>
      </c>
      <c r="B595" s="321" t="s">
        <v>170</v>
      </c>
      <c r="C595" s="78">
        <v>6056.471274626866</v>
      </c>
      <c r="D595" s="78">
        <v>9836.7193292307693</v>
      </c>
      <c r="E595" s="78">
        <v>923.43770149253737</v>
      </c>
      <c r="F595" s="78">
        <v>644.88056865671649</v>
      </c>
      <c r="G595" s="78">
        <v>979.15264477611936</v>
      </c>
      <c r="H595" s="78">
        <v>753.65944029850743</v>
      </c>
      <c r="I595" s="78">
        <v>701.71753880597021</v>
      </c>
      <c r="J595" s="78">
        <v>2966.6650477611943</v>
      </c>
      <c r="K595" s="9" t="s">
        <v>131</v>
      </c>
      <c r="L595" s="20" t="s">
        <v>131</v>
      </c>
    </row>
    <row r="596" spans="1:12" s="53" customFormat="1" ht="20.100000000000001" customHeight="1" x14ac:dyDescent="0.25">
      <c r="A596" s="327"/>
      <c r="B596" s="322"/>
      <c r="C596" s="10">
        <f>C595/12.79*19.53*1.039</f>
        <v>9608.7503103368053</v>
      </c>
      <c r="D596" s="10">
        <f t="shared" ref="D596:J596" si="335">D595/12.79*19.53*1.039</f>
        <v>15606.212862499777</v>
      </c>
      <c r="E596" s="10">
        <f t="shared" si="335"/>
        <v>1465.058100410092</v>
      </c>
      <c r="F596" s="10">
        <f t="shared" si="335"/>
        <v>1023.1199131035523</v>
      </c>
      <c r="G596" s="10">
        <f t="shared" si="335"/>
        <v>1553.4513172341078</v>
      </c>
      <c r="H596" s="10">
        <f t="shared" si="335"/>
        <v>1195.7004421362012</v>
      </c>
      <c r="I596" s="10">
        <f t="shared" si="335"/>
        <v>1113.2932549384632</v>
      </c>
      <c r="J596" s="10">
        <f t="shared" si="335"/>
        <v>4706.6918021660986</v>
      </c>
      <c r="K596" s="10" t="s">
        <v>131</v>
      </c>
      <c r="L596" s="26" t="s">
        <v>131</v>
      </c>
    </row>
    <row r="597" spans="1:12" s="53" customFormat="1" ht="20.100000000000001" customHeight="1" x14ac:dyDescent="0.25">
      <c r="A597" s="327"/>
      <c r="B597" s="322"/>
      <c r="C597" s="16">
        <f>C596*0.0214</f>
        <v>205.62725664120762</v>
      </c>
      <c r="D597" s="16">
        <f t="shared" ref="D597:J597" si="336">D596*0.0214</f>
        <v>333.97295525749519</v>
      </c>
      <c r="E597" s="16">
        <f t="shared" si="336"/>
        <v>31.352243348775968</v>
      </c>
      <c r="F597" s="16">
        <f t="shared" si="336"/>
        <v>21.894766140416017</v>
      </c>
      <c r="G597" s="16">
        <f t="shared" si="336"/>
        <v>33.243858188809902</v>
      </c>
      <c r="H597" s="16">
        <f t="shared" si="336"/>
        <v>25.587989461714706</v>
      </c>
      <c r="I597" s="16">
        <f t="shared" si="336"/>
        <v>23.824475655683109</v>
      </c>
      <c r="J597" s="16">
        <f t="shared" si="336"/>
        <v>100.72320456635451</v>
      </c>
      <c r="K597" s="16" t="s">
        <v>131</v>
      </c>
      <c r="L597" s="15" t="s">
        <v>131</v>
      </c>
    </row>
    <row r="598" spans="1:12" s="53" customFormat="1" ht="20.100000000000001" hidden="1" customHeight="1" x14ac:dyDescent="0.25">
      <c r="A598" s="327"/>
      <c r="B598" s="322"/>
      <c r="C598" s="16">
        <f>12559/1617.9</f>
        <v>7.7625316768650716</v>
      </c>
      <c r="D598" s="16">
        <f>9375/593</f>
        <v>15.809443507588533</v>
      </c>
      <c r="E598" s="16">
        <f>4656/1617.9</f>
        <v>2.8778045614685701</v>
      </c>
      <c r="F598" s="16">
        <f>10344/2/1617.9</f>
        <v>3.1967365102911178</v>
      </c>
      <c r="G598" s="16">
        <f>7444/1617.9</f>
        <v>4.6010260213857466</v>
      </c>
      <c r="H598" s="16">
        <f>F598</f>
        <v>3.1967365102911178</v>
      </c>
      <c r="I598" s="16">
        <f>18319/1617.9</f>
        <v>11.322702268372581</v>
      </c>
      <c r="J598" s="16">
        <f>2405/1617.9</f>
        <v>1.4864948389888126</v>
      </c>
      <c r="K598" s="16" t="s">
        <v>131</v>
      </c>
      <c r="L598" s="15" t="s">
        <v>131</v>
      </c>
    </row>
    <row r="599" spans="1:12" s="53" customFormat="1" ht="20.100000000000001" hidden="1" customHeight="1" thickBot="1" x14ac:dyDescent="0.3">
      <c r="A599" s="327"/>
      <c r="B599" s="322"/>
      <c r="C599" s="17">
        <f>(1/1617.9)*180496.14*1.2*P4</f>
        <v>165.81646134927342</v>
      </c>
      <c r="D599" s="18">
        <f>(1/1617.9)*153422.28*1.2*P4</f>
        <v>140.94450752097745</v>
      </c>
      <c r="E599" s="18">
        <f>(1/1617.9)*120331.44*1.2*P4</f>
        <v>110.54493226205507</v>
      </c>
      <c r="F599" s="18">
        <f>(1/1617.9)*90248.58*1.2*P4</f>
        <v>82.90869919654132</v>
      </c>
      <c r="G599" s="18">
        <f>(1/1617.9)*90248.58*1.2*P4</f>
        <v>82.90869919654132</v>
      </c>
      <c r="H599" s="18">
        <f>(1/1617.9)*90248.58*1.2*P4</f>
        <v>82.90869919654132</v>
      </c>
      <c r="I599" s="19">
        <f>(1/1617.9)*116497*1.2*P4</f>
        <v>107.02234572886879</v>
      </c>
      <c r="J599" s="19">
        <f>(1/1617.9)*147405.3*1.2*P4</f>
        <v>135.41688609035103</v>
      </c>
      <c r="K599" s="18" t="s">
        <v>131</v>
      </c>
      <c r="L599" s="20" t="s">
        <v>131</v>
      </c>
    </row>
    <row r="600" spans="1:12" s="53" customFormat="1" ht="20.100000000000001" customHeight="1" thickBot="1" x14ac:dyDescent="0.3">
      <c r="A600" s="327"/>
      <c r="B600" s="323"/>
      <c r="C600" s="17">
        <f>C599+C598</f>
        <v>173.57899302613851</v>
      </c>
      <c r="D600" s="17">
        <f t="shared" ref="D600:J600" si="337">D599+D598</f>
        <v>156.75395102856598</v>
      </c>
      <c r="E600" s="17">
        <f t="shared" si="337"/>
        <v>113.42273682352364</v>
      </c>
      <c r="F600" s="17">
        <f t="shared" si="337"/>
        <v>86.105435706832438</v>
      </c>
      <c r="G600" s="17">
        <f t="shared" si="337"/>
        <v>87.50972521792707</v>
      </c>
      <c r="H600" s="17">
        <f t="shared" si="337"/>
        <v>86.105435706832438</v>
      </c>
      <c r="I600" s="17">
        <f t="shared" si="337"/>
        <v>118.34504799724137</v>
      </c>
      <c r="J600" s="17">
        <f t="shared" si="337"/>
        <v>136.90338092933985</v>
      </c>
      <c r="K600" s="18" t="s">
        <v>131</v>
      </c>
      <c r="L600" s="34" t="s">
        <v>131</v>
      </c>
    </row>
    <row r="601" spans="1:12" s="53" customFormat="1" ht="20.100000000000001" customHeight="1" thickBot="1" x14ac:dyDescent="0.3">
      <c r="A601" s="328"/>
      <c r="B601" s="265" t="s">
        <v>212</v>
      </c>
      <c r="C601" s="36">
        <f>SUM(C596:C599)</f>
        <v>9987.9565600041515</v>
      </c>
      <c r="D601" s="36">
        <f t="shared" ref="D601:J601" si="338">SUM(D596:D599)</f>
        <v>16096.939768785838</v>
      </c>
      <c r="E601" s="36">
        <f t="shared" si="338"/>
        <v>1609.8330805823916</v>
      </c>
      <c r="F601" s="36">
        <f t="shared" si="338"/>
        <v>1131.1201149508011</v>
      </c>
      <c r="G601" s="36">
        <f t="shared" si="338"/>
        <v>1674.2049006408449</v>
      </c>
      <c r="H601" s="36">
        <f t="shared" si="338"/>
        <v>1307.3938673047485</v>
      </c>
      <c r="I601" s="36">
        <f t="shared" si="338"/>
        <v>1255.4627785913874</v>
      </c>
      <c r="J601" s="36">
        <f t="shared" si="338"/>
        <v>4944.3183876617923</v>
      </c>
      <c r="K601" s="36" t="s">
        <v>131</v>
      </c>
      <c r="L601" s="34" t="s">
        <v>131</v>
      </c>
    </row>
    <row r="602" spans="1:12" s="53" customFormat="1" ht="21.95" customHeight="1" thickBot="1" x14ac:dyDescent="0.3">
      <c r="A602" s="311" t="s">
        <v>1008</v>
      </c>
      <c r="B602" s="312"/>
      <c r="C602" s="312"/>
      <c r="D602" s="312"/>
      <c r="E602" s="312"/>
      <c r="F602" s="312"/>
      <c r="G602" s="312"/>
      <c r="H602" s="312"/>
      <c r="I602" s="312"/>
      <c r="J602" s="312"/>
      <c r="K602" s="312"/>
      <c r="L602" s="313"/>
    </row>
    <row r="603" spans="1:12" s="53" customFormat="1" ht="20.100000000000001" hidden="1" customHeight="1" thickBot="1" x14ac:dyDescent="0.3">
      <c r="A603" s="327" t="s">
        <v>1009</v>
      </c>
      <c r="B603" s="321" t="s">
        <v>75</v>
      </c>
      <c r="C603" s="9">
        <v>4987.3042155837611</v>
      </c>
      <c r="D603" s="9">
        <v>6132.8666528478607</v>
      </c>
      <c r="E603" s="9">
        <v>820.03666441286725</v>
      </c>
      <c r="F603" s="9">
        <v>468.18300442255213</v>
      </c>
      <c r="G603" s="9">
        <v>1147.2654367311072</v>
      </c>
      <c r="H603" s="9">
        <v>479.33783523498931</v>
      </c>
      <c r="I603" s="9">
        <v>2721.7713862038668</v>
      </c>
      <c r="J603" s="9">
        <v>2542.104583196694</v>
      </c>
      <c r="K603" s="9" t="s">
        <v>131</v>
      </c>
      <c r="L603" s="20" t="s">
        <v>131</v>
      </c>
    </row>
    <row r="604" spans="1:12" s="53" customFormat="1" ht="20.100000000000001" customHeight="1" x14ac:dyDescent="0.25">
      <c r="A604" s="327"/>
      <c r="B604" s="322"/>
      <c r="C604" s="10">
        <f>C603/13.19*19.53*1.039</f>
        <v>7672.5345968335514</v>
      </c>
      <c r="D604" s="10">
        <f t="shared" ref="D604:J604" si="339">D603/13.19*19.53*1.039</f>
        <v>9434.8829623649235</v>
      </c>
      <c r="E604" s="10">
        <f t="shared" si="339"/>
        <v>1261.5552223022478</v>
      </c>
      <c r="F604" s="10">
        <f t="shared" si="339"/>
        <v>720.25891018582024</v>
      </c>
      <c r="G604" s="10">
        <f t="shared" si="339"/>
        <v>1764.9682823770663</v>
      </c>
      <c r="H604" s="10">
        <f t="shared" si="339"/>
        <v>737.41964906010435</v>
      </c>
      <c r="I604" s="10">
        <f t="shared" si="339"/>
        <v>4187.209005632405</v>
      </c>
      <c r="J604" s="10">
        <f t="shared" si="339"/>
        <v>3910.8072257554859</v>
      </c>
      <c r="K604" s="10" t="s">
        <v>131</v>
      </c>
      <c r="L604" s="26" t="s">
        <v>131</v>
      </c>
    </row>
    <row r="605" spans="1:12" s="53" customFormat="1" ht="20.100000000000001" customHeight="1" x14ac:dyDescent="0.25">
      <c r="A605" s="327"/>
      <c r="B605" s="322"/>
      <c r="C605" s="16">
        <f>C604*0.0214</f>
        <v>164.19224037223799</v>
      </c>
      <c r="D605" s="16">
        <f t="shared" ref="D605:J605" si="340">D604*0.0214</f>
        <v>201.90649539460935</v>
      </c>
      <c r="E605" s="16">
        <f t="shared" si="340"/>
        <v>26.997281757268102</v>
      </c>
      <c r="F605" s="16">
        <f t="shared" si="340"/>
        <v>15.413540677976552</v>
      </c>
      <c r="G605" s="16">
        <f t="shared" si="340"/>
        <v>37.770321242869215</v>
      </c>
      <c r="H605" s="16">
        <f t="shared" si="340"/>
        <v>15.780780489886233</v>
      </c>
      <c r="I605" s="16">
        <f t="shared" si="340"/>
        <v>89.606272720533468</v>
      </c>
      <c r="J605" s="16">
        <f t="shared" si="340"/>
        <v>83.691274631167389</v>
      </c>
      <c r="K605" s="16" t="s">
        <v>131</v>
      </c>
      <c r="L605" s="15" t="s">
        <v>131</v>
      </c>
    </row>
    <row r="606" spans="1:12" s="53" customFormat="1" ht="20.100000000000001" hidden="1" customHeight="1" x14ac:dyDescent="0.25">
      <c r="A606" s="327"/>
      <c r="B606" s="322"/>
      <c r="C606" s="16">
        <f>6658/682.8</f>
        <v>9.751025190392502</v>
      </c>
      <c r="D606" s="16">
        <f>5173/360</f>
        <v>14.369444444444444</v>
      </c>
      <c r="E606" s="16">
        <f>2803/682.8</f>
        <v>4.1051552431165792</v>
      </c>
      <c r="F606" s="16">
        <f>3980/2/682.8</f>
        <v>2.9144698301113068</v>
      </c>
      <c r="G606" s="16">
        <f>3674/682.8</f>
        <v>5.380785002929116</v>
      </c>
      <c r="H606" s="16">
        <f>F606</f>
        <v>2.9144698301113068</v>
      </c>
      <c r="I606" s="16">
        <f>5510/682.8</f>
        <v>8.0697129466900996</v>
      </c>
      <c r="J606" s="16">
        <f>1945/682.8</f>
        <v>2.8485647334504982</v>
      </c>
      <c r="K606" s="16" t="s">
        <v>131</v>
      </c>
      <c r="L606" s="15" t="s">
        <v>131</v>
      </c>
    </row>
    <row r="607" spans="1:12" s="53" customFormat="1" ht="20.100000000000001" hidden="1" customHeight="1" thickBot="1" x14ac:dyDescent="0.3">
      <c r="A607" s="327"/>
      <c r="B607" s="322"/>
      <c r="C607" s="18">
        <f>(1/682.8)*85787.1*1.2*P4</f>
        <v>186.74108313615764</v>
      </c>
      <c r="D607" s="18">
        <f>(1/682.8)*72918.78*1.2*P4</f>
        <v>158.72936558255481</v>
      </c>
      <c r="E607" s="18">
        <f>(1/682.8)*57191.4*1.2*P4</f>
        <v>124.49405542410507</v>
      </c>
      <c r="F607" s="19">
        <f>(1/682.8)*42893.04*1.2*P4</f>
        <v>93.369431401720462</v>
      </c>
      <c r="G607" s="19">
        <f>(1/682.8)*42893.04*1.2*P4</f>
        <v>93.369431401720462</v>
      </c>
      <c r="H607" s="19">
        <f>(1/682.8)*42893.04*1.2*P4</f>
        <v>93.369431401720462</v>
      </c>
      <c r="I607" s="19">
        <f>(1/682.8)*56476.38*1.2*P4</f>
        <v>122.93760218971417</v>
      </c>
      <c r="J607" s="19">
        <f>(1/682.8)*70059.72*1.2*P4</f>
        <v>152.50577297770786</v>
      </c>
      <c r="K607" s="18" t="s">
        <v>131</v>
      </c>
      <c r="L607" s="20" t="s">
        <v>131</v>
      </c>
    </row>
    <row r="608" spans="1:12" s="53" customFormat="1" ht="20.100000000000001" customHeight="1" thickBot="1" x14ac:dyDescent="0.3">
      <c r="A608" s="327"/>
      <c r="B608" s="323"/>
      <c r="C608" s="18">
        <f>C607+C606</f>
        <v>196.49210832655015</v>
      </c>
      <c r="D608" s="18">
        <f t="shared" ref="D608:J608" si="341">D607+D606</f>
        <v>173.09881002699925</v>
      </c>
      <c r="E608" s="18">
        <f t="shared" si="341"/>
        <v>128.59921066722166</v>
      </c>
      <c r="F608" s="18">
        <f t="shared" si="341"/>
        <v>96.283901231831763</v>
      </c>
      <c r="G608" s="18">
        <f t="shared" si="341"/>
        <v>98.750216404649578</v>
      </c>
      <c r="H608" s="18">
        <f t="shared" si="341"/>
        <v>96.283901231831763</v>
      </c>
      <c r="I608" s="18">
        <f t="shared" si="341"/>
        <v>131.00731513640426</v>
      </c>
      <c r="J608" s="18">
        <f t="shared" si="341"/>
        <v>155.35433771115837</v>
      </c>
      <c r="K608" s="18" t="s">
        <v>131</v>
      </c>
      <c r="L608" s="34" t="s">
        <v>131</v>
      </c>
    </row>
    <row r="609" spans="1:12" s="53" customFormat="1" ht="20.100000000000001" customHeight="1" thickBot="1" x14ac:dyDescent="0.3">
      <c r="A609" s="328"/>
      <c r="B609" s="259" t="s">
        <v>212</v>
      </c>
      <c r="C609" s="36">
        <f>SUM(C604:C607)</f>
        <v>8033.2189455323396</v>
      </c>
      <c r="D609" s="36">
        <f t="shared" ref="D609:J609" si="342">SUM(D604:D607)</f>
        <v>9809.8882677865313</v>
      </c>
      <c r="E609" s="36">
        <f t="shared" si="342"/>
        <v>1417.1517147267375</v>
      </c>
      <c r="F609" s="36">
        <f t="shared" si="342"/>
        <v>831.95635209562863</v>
      </c>
      <c r="G609" s="36">
        <f t="shared" si="342"/>
        <v>1901.488820024585</v>
      </c>
      <c r="H609" s="36">
        <f t="shared" si="342"/>
        <v>849.48433078182234</v>
      </c>
      <c r="I609" s="36">
        <f t="shared" si="342"/>
        <v>4407.8225934893426</v>
      </c>
      <c r="J609" s="36">
        <f t="shared" si="342"/>
        <v>4149.8528380978114</v>
      </c>
      <c r="K609" s="36" t="s">
        <v>131</v>
      </c>
      <c r="L609" s="37" t="s">
        <v>131</v>
      </c>
    </row>
    <row r="610" spans="1:12" s="53" customFormat="1" ht="20.100000000000001" hidden="1" customHeight="1" thickBot="1" x14ac:dyDescent="0.3">
      <c r="A610" s="327" t="s">
        <v>1010</v>
      </c>
      <c r="B610" s="321" t="s">
        <v>76</v>
      </c>
      <c r="C610" s="23">
        <v>3704.0357292601448</v>
      </c>
      <c r="D610" s="23">
        <v>7409.0027916279078</v>
      </c>
      <c r="E610" s="23">
        <v>613.7150602705575</v>
      </c>
      <c r="F610" s="23">
        <v>351.47250451684283</v>
      </c>
      <c r="G610" s="23">
        <v>805.54356334199247</v>
      </c>
      <c r="H610" s="23">
        <v>269.61387880146958</v>
      </c>
      <c r="I610" s="23">
        <v>1823.6603428381566</v>
      </c>
      <c r="J610" s="23">
        <v>2492.6243850260034</v>
      </c>
      <c r="K610" s="23">
        <v>536.9319687333699</v>
      </c>
      <c r="L610" s="21" t="s">
        <v>131</v>
      </c>
    </row>
    <row r="611" spans="1:12" s="53" customFormat="1" ht="20.100000000000001" customHeight="1" x14ac:dyDescent="0.25">
      <c r="A611" s="327"/>
      <c r="B611" s="322"/>
      <c r="C611" s="16">
        <f>C610/13.19*19.53*1.039</f>
        <v>5698.3374288367113</v>
      </c>
      <c r="D611" s="16">
        <f t="shared" ref="D611:K611" si="343">D610/13.19*19.53*1.039</f>
        <v>11398.107632812153</v>
      </c>
      <c r="E611" s="16">
        <f t="shared" si="343"/>
        <v>944.14734473390934</v>
      </c>
      <c r="F611" s="16">
        <f t="shared" si="343"/>
        <v>540.70993750790637</v>
      </c>
      <c r="G611" s="16">
        <f t="shared" si="343"/>
        <v>1239.2588444245496</v>
      </c>
      <c r="H611" s="16">
        <f t="shared" si="343"/>
        <v>414.77754784377686</v>
      </c>
      <c r="I611" s="16">
        <f t="shared" si="343"/>
        <v>2805.5431288065765</v>
      </c>
      <c r="J611" s="16">
        <f t="shared" si="343"/>
        <v>3834.6862361562244</v>
      </c>
      <c r="K611" s="16">
        <f t="shared" si="343"/>
        <v>826.02322380499311</v>
      </c>
      <c r="L611" s="15" t="s">
        <v>131</v>
      </c>
    </row>
    <row r="612" spans="1:12" s="53" customFormat="1" ht="20.100000000000001" hidden="1" customHeight="1" x14ac:dyDescent="0.25">
      <c r="A612" s="327"/>
      <c r="B612" s="322"/>
      <c r="C612" s="16">
        <f>C611*0.0214</f>
        <v>121.94442097710562</v>
      </c>
      <c r="D612" s="16">
        <f t="shared" ref="D612:K612" si="344">D611*0.0214</f>
        <v>243.91950334218006</v>
      </c>
      <c r="E612" s="16">
        <f t="shared" si="344"/>
        <v>20.204753177305658</v>
      </c>
      <c r="F612" s="16">
        <f t="shared" si="344"/>
        <v>11.571192662669196</v>
      </c>
      <c r="G612" s="16">
        <f t="shared" si="344"/>
        <v>26.520139270685359</v>
      </c>
      <c r="H612" s="16">
        <f t="shared" si="344"/>
        <v>8.8762395238568246</v>
      </c>
      <c r="I612" s="16">
        <f t="shared" si="344"/>
        <v>60.038622956460735</v>
      </c>
      <c r="J612" s="16">
        <f t="shared" si="344"/>
        <v>82.0622854537432</v>
      </c>
      <c r="K612" s="16">
        <f t="shared" si="344"/>
        <v>17.676896989426851</v>
      </c>
      <c r="L612" s="15" t="s">
        <v>131</v>
      </c>
    </row>
    <row r="613" spans="1:12" s="53" customFormat="1" ht="20.100000000000001" hidden="1" customHeight="1" x14ac:dyDescent="0.25">
      <c r="A613" s="327"/>
      <c r="B613" s="322"/>
      <c r="C613" s="16">
        <f>13571/1655.3</f>
        <v>8.1985138645562738</v>
      </c>
      <c r="D613" s="16">
        <f>10305/552</f>
        <v>18.668478260869566</v>
      </c>
      <c r="E613" s="16">
        <f>5485/1655.3</f>
        <v>3.3135987434301941</v>
      </c>
      <c r="F613" s="16">
        <f>11305/2/1655.3</f>
        <v>3.4147888600253733</v>
      </c>
      <c r="G613" s="16">
        <f>8338/1655.3</f>
        <v>5.0371533860931557</v>
      </c>
      <c r="H613" s="16">
        <f>F613</f>
        <v>3.4147888600253733</v>
      </c>
      <c r="I613" s="16">
        <f>19464/1655.3</f>
        <v>11.758593608409353</v>
      </c>
      <c r="J613" s="16">
        <f>3182/1655.3</f>
        <v>1.9223101552588655</v>
      </c>
      <c r="K613" s="16">
        <f>J613</f>
        <v>1.9223101552588655</v>
      </c>
      <c r="L613" s="15" t="s">
        <v>131</v>
      </c>
    </row>
    <row r="614" spans="1:12" s="53" customFormat="1" ht="20.100000000000001" customHeight="1" x14ac:dyDescent="0.25">
      <c r="A614" s="327"/>
      <c r="B614" s="322"/>
      <c r="C614" s="32">
        <f>(1/1655.3)*138899.52*1.2*P4</f>
        <v>124.71980664310809</v>
      </c>
      <c r="D614" s="16">
        <f>(1/552)*48614.22*1.2*P4</f>
        <v>130.89879339096109</v>
      </c>
      <c r="E614" s="16">
        <f>(1/1655.3)*92599.68*1.2*P4</f>
        <v>83.146537762072057</v>
      </c>
      <c r="F614" s="32">
        <f>(1/1655.3)*69449.76*1.2*P4</f>
        <v>62.359903321554043</v>
      </c>
      <c r="G614" s="32">
        <f>(1/1655.3)*69449.76*1.2*P4</f>
        <v>62.359903321554043</v>
      </c>
      <c r="H614" s="32">
        <f>(1/1655.3)*69449.76*1.2*P4</f>
        <v>62.359903321554043</v>
      </c>
      <c r="I614" s="32">
        <f>(1/1655.3)*91441.98*1.2*P4</f>
        <v>82.107022865615065</v>
      </c>
      <c r="J614" s="32">
        <f>(1/1655.3)*113434.2*1.2*P4</f>
        <v>101.85414240967609</v>
      </c>
      <c r="K614" s="16">
        <f>(1/1655.3)*48614.22*1.2*P4</f>
        <v>43.651382801794554</v>
      </c>
      <c r="L614" s="15" t="s">
        <v>131</v>
      </c>
    </row>
    <row r="615" spans="1:12" s="53" customFormat="1" ht="20.100000000000001" customHeight="1" thickBot="1" x14ac:dyDescent="0.3">
      <c r="A615" s="327"/>
      <c r="B615" s="323"/>
      <c r="C615" s="24">
        <f>C614+C613</f>
        <v>132.91832050766436</v>
      </c>
      <c r="D615" s="24">
        <f t="shared" ref="D615:K615" si="345">D614+D613</f>
        <v>149.56727165183065</v>
      </c>
      <c r="E615" s="24">
        <f t="shared" si="345"/>
        <v>86.460136505502248</v>
      </c>
      <c r="F615" s="24">
        <f t="shared" si="345"/>
        <v>65.774692181579411</v>
      </c>
      <c r="G615" s="24">
        <f t="shared" si="345"/>
        <v>67.397056707647195</v>
      </c>
      <c r="H615" s="24">
        <f t="shared" si="345"/>
        <v>65.774692181579411</v>
      </c>
      <c r="I615" s="24">
        <f t="shared" si="345"/>
        <v>93.865616474024421</v>
      </c>
      <c r="J615" s="24">
        <f t="shared" si="345"/>
        <v>103.77645256493496</v>
      </c>
      <c r="K615" s="24">
        <f t="shared" si="345"/>
        <v>45.573692957053417</v>
      </c>
      <c r="L615" s="20" t="s">
        <v>131</v>
      </c>
    </row>
    <row r="616" spans="1:12" s="53" customFormat="1" ht="20.100000000000001" customHeight="1" thickBot="1" x14ac:dyDescent="0.3">
      <c r="A616" s="328"/>
      <c r="B616" s="265" t="s">
        <v>212</v>
      </c>
      <c r="C616" s="75">
        <f>SUM(C611:C614)</f>
        <v>5953.200170321481</v>
      </c>
      <c r="D616" s="75">
        <f t="shared" ref="D616:K616" si="346">SUM(D611:D614)</f>
        <v>11791.594407806164</v>
      </c>
      <c r="E616" s="75">
        <f t="shared" si="346"/>
        <v>1050.8122344167173</v>
      </c>
      <c r="F616" s="75">
        <f t="shared" si="346"/>
        <v>618.05582235215502</v>
      </c>
      <c r="G616" s="75">
        <f t="shared" si="346"/>
        <v>1333.1760404028823</v>
      </c>
      <c r="H616" s="75">
        <f t="shared" si="346"/>
        <v>489.42847954921314</v>
      </c>
      <c r="I616" s="75">
        <f t="shared" si="346"/>
        <v>2959.4473682370613</v>
      </c>
      <c r="J616" s="75">
        <f t="shared" si="346"/>
        <v>4020.5249741749026</v>
      </c>
      <c r="K616" s="75">
        <f t="shared" si="346"/>
        <v>889.27381375147331</v>
      </c>
      <c r="L616" s="37" t="s">
        <v>131</v>
      </c>
    </row>
    <row r="617" spans="1:12" s="53" customFormat="1" ht="20.100000000000001" hidden="1" customHeight="1" thickBot="1" x14ac:dyDescent="0.3">
      <c r="A617" s="327" t="s">
        <v>1011</v>
      </c>
      <c r="B617" s="321" t="s">
        <v>40</v>
      </c>
      <c r="C617" s="9">
        <v>3637.7199365169854</v>
      </c>
      <c r="D617" s="9">
        <v>7292.3703560209424</v>
      </c>
      <c r="E617" s="9">
        <v>488.27428176653711</v>
      </c>
      <c r="F617" s="9">
        <v>340.00744200042482</v>
      </c>
      <c r="G617" s="9">
        <v>794.78045019282115</v>
      </c>
      <c r="H617" s="9">
        <v>395.51193428460999</v>
      </c>
      <c r="I617" s="9">
        <v>1262.4160652625335</v>
      </c>
      <c r="J617" s="9">
        <v>1622.3211779175497</v>
      </c>
      <c r="K617" s="9">
        <v>349.86385054007775</v>
      </c>
      <c r="L617" s="20" t="s">
        <v>131</v>
      </c>
    </row>
    <row r="618" spans="1:12" s="53" customFormat="1" ht="20.100000000000001" customHeight="1" x14ac:dyDescent="0.25">
      <c r="A618" s="327"/>
      <c r="B618" s="322"/>
      <c r="C618" s="10">
        <f>C617/13.19*19.53*1.039</f>
        <v>5596.3163384551635</v>
      </c>
      <c r="D618" s="10">
        <f t="shared" ref="D618:K618" si="347">D617/13.19*19.53*1.039</f>
        <v>11218.678755281235</v>
      </c>
      <c r="E618" s="10">
        <f t="shared" si="347"/>
        <v>751.16759629215983</v>
      </c>
      <c r="F618" s="10">
        <f t="shared" si="347"/>
        <v>523.07193408769979</v>
      </c>
      <c r="G618" s="10">
        <f t="shared" si="347"/>
        <v>1222.7007291708994</v>
      </c>
      <c r="H618" s="10">
        <f t="shared" si="347"/>
        <v>608.46077722251641</v>
      </c>
      <c r="I618" s="10">
        <f t="shared" si="347"/>
        <v>1942.1175283552534</v>
      </c>
      <c r="J618" s="10">
        <f t="shared" si="347"/>
        <v>2495.8003014643064</v>
      </c>
      <c r="K618" s="10">
        <f t="shared" si="347"/>
        <v>538.23516300899007</v>
      </c>
      <c r="L618" s="26" t="s">
        <v>131</v>
      </c>
    </row>
    <row r="619" spans="1:12" s="53" customFormat="1" ht="20.100000000000001" customHeight="1" x14ac:dyDescent="0.25">
      <c r="A619" s="327"/>
      <c r="B619" s="322"/>
      <c r="C619" s="16">
        <f>C618*0.0214</f>
        <v>119.76116964294049</v>
      </c>
      <c r="D619" s="16">
        <f t="shared" ref="D619:K619" si="348">D618*0.0214</f>
        <v>240.07972536301841</v>
      </c>
      <c r="E619" s="16">
        <f t="shared" si="348"/>
        <v>16.074986560652221</v>
      </c>
      <c r="F619" s="16">
        <f t="shared" si="348"/>
        <v>11.193739389476775</v>
      </c>
      <c r="G619" s="16">
        <f t="shared" si="348"/>
        <v>26.165795604257248</v>
      </c>
      <c r="H619" s="16">
        <f t="shared" si="348"/>
        <v>13.02106063256185</v>
      </c>
      <c r="I619" s="16">
        <f t="shared" si="348"/>
        <v>41.561315106802418</v>
      </c>
      <c r="J619" s="16">
        <f t="shared" si="348"/>
        <v>53.410126451336154</v>
      </c>
      <c r="K619" s="16">
        <f t="shared" si="348"/>
        <v>11.518232488392387</v>
      </c>
      <c r="L619" s="15" t="s">
        <v>131</v>
      </c>
    </row>
    <row r="620" spans="1:12" s="53" customFormat="1" ht="20.100000000000001" hidden="1" customHeight="1" x14ac:dyDescent="0.25">
      <c r="A620" s="327"/>
      <c r="B620" s="322"/>
      <c r="C620" s="16">
        <f>12522/1685.5</f>
        <v>7.4292494808662122</v>
      </c>
      <c r="D620" s="16">
        <f>9527/421</f>
        <v>22.629453681710213</v>
      </c>
      <c r="E620" s="16">
        <f>5568/1685.5</f>
        <v>3.3034707801839218</v>
      </c>
      <c r="F620" s="16">
        <f>11494/2/1685.5</f>
        <v>3.4096707208543457</v>
      </c>
      <c r="G620" s="16">
        <f>8473/1685.5</f>
        <v>5.0269949569860577</v>
      </c>
      <c r="H620" s="16">
        <f>F620</f>
        <v>3.4096707208543457</v>
      </c>
      <c r="I620" s="16">
        <f>19802/1685.5</f>
        <v>11.748442598635419</v>
      </c>
      <c r="J620" s="16">
        <f>2995/1685.5</f>
        <v>1.7769207950163157</v>
      </c>
      <c r="K620" s="16">
        <f>J620</f>
        <v>1.7769207950163157</v>
      </c>
      <c r="L620" s="15" t="s">
        <v>131</v>
      </c>
    </row>
    <row r="621" spans="1:12" s="53" customFormat="1" ht="20.100000000000001" hidden="1" customHeight="1" thickBot="1" x14ac:dyDescent="0.3">
      <c r="A621" s="327"/>
      <c r="B621" s="322"/>
      <c r="C621" s="18">
        <f>(1/1685.5)*193360.38*1.2*P4</f>
        <v>170.51010939772985</v>
      </c>
      <c r="D621" s="18">
        <f>(1/621)*67675.98*1.2*P4</f>
        <v>161.97737339771166</v>
      </c>
      <c r="E621" s="18">
        <f>(1/1685.5)*128907.6*1.2*P4</f>
        <v>113.67400590647786</v>
      </c>
      <c r="F621" s="19">
        <f>(1/1685.5)*96680.7*1.2*P4</f>
        <v>85.255504429858377</v>
      </c>
      <c r="G621" s="19">
        <f>(1/1685.5)*96680.7*1.2*P4</f>
        <v>85.255504429858377</v>
      </c>
      <c r="H621" s="19">
        <f>(1/1685.5)*96680.7*1.2*P4</f>
        <v>85.255504429858377</v>
      </c>
      <c r="I621" s="19">
        <f>(1/1685.5)*127296*1.2*P4</f>
        <v>112.25285596715014</v>
      </c>
      <c r="J621" s="19">
        <f>(1/1685.5)*157911.3*1.2*P4</f>
        <v>139.2502075044419</v>
      </c>
      <c r="K621" s="18">
        <f>(1/1685.5)*67675.98*1.2*P4</f>
        <v>59.678403369907407</v>
      </c>
      <c r="L621" s="20" t="s">
        <v>131</v>
      </c>
    </row>
    <row r="622" spans="1:12" s="53" customFormat="1" ht="20.100000000000001" customHeight="1" thickBot="1" x14ac:dyDescent="0.3">
      <c r="A622" s="327"/>
      <c r="B622" s="323"/>
      <c r="C622" s="17">
        <f>C621+C620</f>
        <v>177.93935887859607</v>
      </c>
      <c r="D622" s="17">
        <f t="shared" ref="D622:K622" si="349">D621+D620</f>
        <v>184.60682707942186</v>
      </c>
      <c r="E622" s="17">
        <f t="shared" si="349"/>
        <v>116.97747668666179</v>
      </c>
      <c r="F622" s="17">
        <f t="shared" si="349"/>
        <v>88.665175150712727</v>
      </c>
      <c r="G622" s="17">
        <f t="shared" si="349"/>
        <v>90.282499386844435</v>
      </c>
      <c r="H622" s="17">
        <f t="shared" si="349"/>
        <v>88.665175150712727</v>
      </c>
      <c r="I622" s="17">
        <f t="shared" si="349"/>
        <v>124.00129856578556</v>
      </c>
      <c r="J622" s="17">
        <f t="shared" si="349"/>
        <v>141.02712829945821</v>
      </c>
      <c r="K622" s="17">
        <f t="shared" si="349"/>
        <v>61.455324164923724</v>
      </c>
      <c r="L622" s="34" t="s">
        <v>131</v>
      </c>
    </row>
    <row r="623" spans="1:12" s="53" customFormat="1" ht="20.100000000000001" customHeight="1" thickBot="1" x14ac:dyDescent="0.3">
      <c r="A623" s="328"/>
      <c r="B623" s="259" t="s">
        <v>212</v>
      </c>
      <c r="C623" s="268">
        <f>SUM(C618:C621)</f>
        <v>5894.0168669766999</v>
      </c>
      <c r="D623" s="268">
        <f t="shared" ref="D623:K623" si="350">SUM(D618:D621)</f>
        <v>11643.365307723674</v>
      </c>
      <c r="E623" s="268">
        <f t="shared" si="350"/>
        <v>884.22005953947382</v>
      </c>
      <c r="F623" s="268">
        <f t="shared" si="350"/>
        <v>622.93084862788919</v>
      </c>
      <c r="G623" s="268">
        <f t="shared" si="350"/>
        <v>1339.1490241620011</v>
      </c>
      <c r="H623" s="268">
        <f t="shared" si="350"/>
        <v>710.147013005791</v>
      </c>
      <c r="I623" s="268">
        <f t="shared" si="350"/>
        <v>2107.6801420278412</v>
      </c>
      <c r="J623" s="268">
        <f t="shared" si="350"/>
        <v>2690.2375562151005</v>
      </c>
      <c r="K623" s="268">
        <f t="shared" si="350"/>
        <v>611.20871966230618</v>
      </c>
      <c r="L623" s="37" t="s">
        <v>131</v>
      </c>
    </row>
    <row r="624" spans="1:12" s="53" customFormat="1" ht="20.100000000000001" hidden="1" customHeight="1" thickBot="1" x14ac:dyDescent="0.3">
      <c r="A624" s="327" t="s">
        <v>1012</v>
      </c>
      <c r="B624" s="321" t="s">
        <v>171</v>
      </c>
      <c r="C624" s="9">
        <v>4982.3066547169819</v>
      </c>
      <c r="D624" s="9">
        <v>7768.3944700000011</v>
      </c>
      <c r="E624" s="9">
        <v>810.96438679245296</v>
      </c>
      <c r="F624" s="9">
        <v>464.05548679245288</v>
      </c>
      <c r="G624" s="9">
        <v>2048.172503773585</v>
      </c>
      <c r="H624" s="9">
        <v>340.55106792452835</v>
      </c>
      <c r="I624" s="9">
        <v>3722.0238792452833</v>
      </c>
      <c r="J624" s="9">
        <v>3405.6919924528306</v>
      </c>
      <c r="K624" s="9">
        <v>727.43197358490568</v>
      </c>
      <c r="L624" s="21" t="s">
        <v>131</v>
      </c>
    </row>
    <row r="625" spans="1:12" s="53" customFormat="1" ht="20.100000000000001" customHeight="1" x14ac:dyDescent="0.25">
      <c r="A625" s="327"/>
      <c r="B625" s="322"/>
      <c r="C625" s="10">
        <f>C624/14.06*19.53*1.039</f>
        <v>7190.5634762674918</v>
      </c>
      <c r="D625" s="10">
        <f t="shared" ref="D625:K625" si="351">D624/14.06*19.53*1.039</f>
        <v>11211.500498937761</v>
      </c>
      <c r="E625" s="10">
        <f t="shared" si="351"/>
        <v>1170.3998377343394</v>
      </c>
      <c r="F625" s="10">
        <f t="shared" si="351"/>
        <v>669.73405403142328</v>
      </c>
      <c r="G625" s="10">
        <f t="shared" si="351"/>
        <v>2955.9630547402094</v>
      </c>
      <c r="H625" s="10">
        <f t="shared" si="351"/>
        <v>491.49003474197116</v>
      </c>
      <c r="I625" s="10">
        <f t="shared" si="351"/>
        <v>5371.6984558865679</v>
      </c>
      <c r="J625" s="10">
        <f t="shared" si="351"/>
        <v>4915.1620222258407</v>
      </c>
      <c r="K625" s="10">
        <f t="shared" si="351"/>
        <v>1049.8442073565875</v>
      </c>
      <c r="L625" s="21" t="s">
        <v>131</v>
      </c>
    </row>
    <row r="626" spans="1:12" s="53" customFormat="1" ht="20.100000000000001" customHeight="1" x14ac:dyDescent="0.25">
      <c r="A626" s="327"/>
      <c r="B626" s="322"/>
      <c r="C626" s="16">
        <f>C625*0.0214</f>
        <v>153.8780583921243</v>
      </c>
      <c r="D626" s="16">
        <f t="shared" ref="D626:K626" si="352">D625*0.0214</f>
        <v>239.92611067726807</v>
      </c>
      <c r="E626" s="16">
        <f t="shared" si="352"/>
        <v>25.046556527514863</v>
      </c>
      <c r="F626" s="16">
        <f t="shared" si="352"/>
        <v>14.332308756272457</v>
      </c>
      <c r="G626" s="16">
        <f t="shared" si="352"/>
        <v>63.257609371440481</v>
      </c>
      <c r="H626" s="16">
        <f t="shared" si="352"/>
        <v>10.517886743478183</v>
      </c>
      <c r="I626" s="16">
        <f t="shared" si="352"/>
        <v>114.95434695597255</v>
      </c>
      <c r="J626" s="16">
        <f t="shared" si="352"/>
        <v>105.18446727563298</v>
      </c>
      <c r="K626" s="16">
        <f t="shared" si="352"/>
        <v>22.466666037430972</v>
      </c>
      <c r="L626" s="15" t="s">
        <v>131</v>
      </c>
    </row>
    <row r="627" spans="1:12" s="53" customFormat="1" ht="20.100000000000001" hidden="1" customHeight="1" x14ac:dyDescent="0.25">
      <c r="A627" s="327"/>
      <c r="B627" s="322"/>
      <c r="C627" s="16">
        <f>14838/1637.5</f>
        <v>9.0613740458015268</v>
      </c>
      <c r="D627" s="16">
        <f>11244/829</f>
        <v>13.563329312424608</v>
      </c>
      <c r="E627" s="16">
        <f>5491/1657.5</f>
        <v>3.312820512820513</v>
      </c>
      <c r="F627" s="16">
        <f>11318/2/1657.5</f>
        <v>3.4141779788838611</v>
      </c>
      <c r="G627" s="16">
        <f>8347/1657.5</f>
        <v>5.0358974358974358</v>
      </c>
      <c r="H627" s="16">
        <f>F627</f>
        <v>3.4141779788838611</v>
      </c>
      <c r="I627" s="16">
        <f>19489/1657.5</f>
        <v>11.758069381598794</v>
      </c>
      <c r="J627" s="16">
        <f>3409/1657.5</f>
        <v>2.0567119155354447</v>
      </c>
      <c r="K627" s="16">
        <f>J627</f>
        <v>2.0567119155354447</v>
      </c>
      <c r="L627" s="15" t="s">
        <v>131</v>
      </c>
    </row>
    <row r="628" spans="1:12" s="53" customFormat="1" ht="20.100000000000001" hidden="1" customHeight="1" thickBot="1" x14ac:dyDescent="0.3">
      <c r="A628" s="327"/>
      <c r="B628" s="322"/>
      <c r="C628" s="18">
        <f>122.69*P4</f>
        <v>151.96351113157894</v>
      </c>
      <c r="D628" s="18">
        <f>135.23*P4</f>
        <v>167.49552213157892</v>
      </c>
      <c r="E628" s="18">
        <f>98.63*P4</f>
        <v>122.16285844736841</v>
      </c>
      <c r="F628" s="19">
        <f>69.15*P4</f>
        <v>85.649008026315784</v>
      </c>
      <c r="G628" s="19">
        <f>69.15*P4</f>
        <v>85.649008026315784</v>
      </c>
      <c r="H628" s="19">
        <f>69.15*P4</f>
        <v>85.649008026315784</v>
      </c>
      <c r="I628" s="19">
        <f>93.26*P4</f>
        <v>115.51159057894736</v>
      </c>
      <c r="J628" s="19">
        <f>113.25*P4</f>
        <v>140.2711519736842</v>
      </c>
      <c r="K628" s="18">
        <f>49.12*P4</f>
        <v>60.839902736842099</v>
      </c>
      <c r="L628" s="20" t="s">
        <v>131</v>
      </c>
    </row>
    <row r="629" spans="1:12" s="53" customFormat="1" ht="20.100000000000001" customHeight="1" thickBot="1" x14ac:dyDescent="0.3">
      <c r="A629" s="327"/>
      <c r="B629" s="323"/>
      <c r="C629" s="17">
        <f>C628+C627</f>
        <v>161.02488517738047</v>
      </c>
      <c r="D629" s="17">
        <f t="shared" ref="D629:K629" si="353">D628+D627</f>
        <v>181.05885144400352</v>
      </c>
      <c r="E629" s="17">
        <f t="shared" si="353"/>
        <v>125.47567896018892</v>
      </c>
      <c r="F629" s="17">
        <f t="shared" si="353"/>
        <v>89.06318600519964</v>
      </c>
      <c r="G629" s="17">
        <f t="shared" si="353"/>
        <v>90.684905462213223</v>
      </c>
      <c r="H629" s="17">
        <f t="shared" si="353"/>
        <v>89.06318600519964</v>
      </c>
      <c r="I629" s="17">
        <f t="shared" si="353"/>
        <v>127.26965996054616</v>
      </c>
      <c r="J629" s="17">
        <f t="shared" si="353"/>
        <v>142.32786388921966</v>
      </c>
      <c r="K629" s="17">
        <f t="shared" si="353"/>
        <v>62.896614652377544</v>
      </c>
      <c r="L629" s="34" t="s">
        <v>131</v>
      </c>
    </row>
    <row r="630" spans="1:12" s="53" customFormat="1" ht="20.100000000000001" customHeight="1" thickBot="1" x14ac:dyDescent="0.3">
      <c r="A630" s="328"/>
      <c r="B630" s="259" t="s">
        <v>212</v>
      </c>
      <c r="C630" s="268">
        <f>SUM(C625:C628)</f>
        <v>7505.4664198369965</v>
      </c>
      <c r="D630" s="268">
        <f t="shared" ref="D630:K630" si="354">SUM(D625:D628)</f>
        <v>11632.485461059034</v>
      </c>
      <c r="E630" s="268">
        <f t="shared" si="354"/>
        <v>1320.9220732220431</v>
      </c>
      <c r="F630" s="268">
        <f t="shared" si="354"/>
        <v>773.12954879289543</v>
      </c>
      <c r="G630" s="268">
        <f t="shared" si="354"/>
        <v>3109.905569573863</v>
      </c>
      <c r="H630" s="268">
        <f t="shared" si="354"/>
        <v>591.07110749064896</v>
      </c>
      <c r="I630" s="268">
        <f t="shared" si="354"/>
        <v>5613.9224628030861</v>
      </c>
      <c r="J630" s="268">
        <f t="shared" si="354"/>
        <v>5162.6743533906938</v>
      </c>
      <c r="K630" s="268">
        <f t="shared" si="354"/>
        <v>1135.2074880463961</v>
      </c>
      <c r="L630" s="37" t="s">
        <v>131</v>
      </c>
    </row>
    <row r="631" spans="1:12" s="53" customFormat="1" ht="20.100000000000001" hidden="1" customHeight="1" thickBot="1" x14ac:dyDescent="0.3">
      <c r="A631" s="327" t="s">
        <v>1013</v>
      </c>
      <c r="B631" s="321" t="s">
        <v>77</v>
      </c>
      <c r="C631" s="9">
        <v>4930.4143240811236</v>
      </c>
      <c r="D631" s="9">
        <v>4381.1786082802546</v>
      </c>
      <c r="E631" s="9">
        <v>800.01726701896723</v>
      </c>
      <c r="F631" s="9">
        <v>457.79343942658306</v>
      </c>
      <c r="G631" s="9">
        <v>2020.4102364110799</v>
      </c>
      <c r="H631" s="9">
        <v>336.10935462780503</v>
      </c>
      <c r="I631" s="9">
        <v>3672.3951719741067</v>
      </c>
      <c r="J631" s="9">
        <v>3391.8678674395328</v>
      </c>
      <c r="K631" s="9">
        <v>717.98596343845247</v>
      </c>
      <c r="L631" s="20" t="s">
        <v>131</v>
      </c>
    </row>
    <row r="632" spans="1:12" s="53" customFormat="1" ht="20.100000000000001" customHeight="1" x14ac:dyDescent="0.25">
      <c r="A632" s="327"/>
      <c r="B632" s="322"/>
      <c r="C632" s="10">
        <f>C631/14.06*19.53*1.039</f>
        <v>7115.6714386576959</v>
      </c>
      <c r="D632" s="10">
        <f t="shared" ref="D632:K632" si="355">D631/14.06*19.53*1.039</f>
        <v>6323.0035939034269</v>
      </c>
      <c r="E632" s="10">
        <f t="shared" si="355"/>
        <v>1154.6007380263702</v>
      </c>
      <c r="F632" s="10">
        <f t="shared" si="355"/>
        <v>660.69654345726974</v>
      </c>
      <c r="G632" s="10">
        <f t="shared" si="355"/>
        <v>2915.896001555876</v>
      </c>
      <c r="H632" s="10">
        <f t="shared" si="355"/>
        <v>485.07966628879035</v>
      </c>
      <c r="I632" s="10">
        <f t="shared" si="355"/>
        <v>5300.0733242739561</v>
      </c>
      <c r="J632" s="10">
        <f t="shared" si="355"/>
        <v>4895.210771670465</v>
      </c>
      <c r="K632" s="10">
        <f t="shared" si="355"/>
        <v>1036.2115387428976</v>
      </c>
      <c r="L632" s="26" t="s">
        <v>131</v>
      </c>
    </row>
    <row r="633" spans="1:12" s="53" customFormat="1" ht="20.100000000000001" customHeight="1" x14ac:dyDescent="0.25">
      <c r="A633" s="327"/>
      <c r="B633" s="322"/>
      <c r="C633" s="16">
        <f>C632*0.0214</f>
        <v>152.27536878727469</v>
      </c>
      <c r="D633" s="16">
        <f t="shared" ref="D633:K633" si="356">D632*0.0214</f>
        <v>135.31227690953332</v>
      </c>
      <c r="E633" s="16">
        <f t="shared" si="356"/>
        <v>24.708455793764323</v>
      </c>
      <c r="F633" s="16">
        <f t="shared" si="356"/>
        <v>14.138906029985572</v>
      </c>
      <c r="G633" s="16">
        <f t="shared" si="356"/>
        <v>62.400174433295739</v>
      </c>
      <c r="H633" s="16">
        <f t="shared" si="356"/>
        <v>10.380704858580113</v>
      </c>
      <c r="I633" s="16">
        <f t="shared" si="356"/>
        <v>113.42156913946266</v>
      </c>
      <c r="J633" s="16">
        <f t="shared" si="356"/>
        <v>104.75751051374795</v>
      </c>
      <c r="K633" s="16">
        <f t="shared" si="356"/>
        <v>22.174926929098007</v>
      </c>
      <c r="L633" s="15" t="s">
        <v>131</v>
      </c>
    </row>
    <row r="634" spans="1:12" s="53" customFormat="1" ht="20.100000000000001" hidden="1" customHeight="1" x14ac:dyDescent="0.25">
      <c r="A634" s="327"/>
      <c r="B634" s="322"/>
      <c r="C634" s="16">
        <f>4077/376</f>
        <v>10.843085106382979</v>
      </c>
      <c r="D634" s="16">
        <f>3262/188</f>
        <v>17.351063829787233</v>
      </c>
      <c r="E634" s="16">
        <f>1957/376</f>
        <v>5.2047872340425529</v>
      </c>
      <c r="F634" s="16">
        <f>2099/2/376</f>
        <v>2.791223404255319</v>
      </c>
      <c r="G634" s="16">
        <v>5.1356382978723403</v>
      </c>
      <c r="H634" s="16">
        <f>F634</f>
        <v>2.791223404255319</v>
      </c>
      <c r="I634" s="16">
        <f>2436/376</f>
        <v>6.4787234042553195</v>
      </c>
      <c r="J634" s="16">
        <f>1485/376</f>
        <v>3.9494680851063828</v>
      </c>
      <c r="K634" s="16">
        <f>J634</f>
        <v>3.9494680851063828</v>
      </c>
      <c r="L634" s="15" t="s">
        <v>131</v>
      </c>
    </row>
    <row r="635" spans="1:12" s="53" customFormat="1" ht="20.100000000000001" hidden="1" customHeight="1" thickBot="1" x14ac:dyDescent="0.3">
      <c r="A635" s="327"/>
      <c r="B635" s="322"/>
      <c r="C635" s="17">
        <f>(1/376)*80819.7/2*1.2*P4</f>
        <v>159.73893787751956</v>
      </c>
      <c r="D635" s="18">
        <f>(1/376)*28286.64*1.2*P4</f>
        <v>111.81624850683089</v>
      </c>
      <c r="E635" s="18">
        <f>(1/376)*53879.46/2*1.2*P4</f>
        <v>106.49195324672451</v>
      </c>
      <c r="F635" s="19">
        <f>(1/376)*40409.34/2*1.2*P4</f>
        <v>79.86846093132695</v>
      </c>
      <c r="G635" s="19">
        <f>(1/376)*40409.34/2*1.2*P4</f>
        <v>79.86846093132695</v>
      </c>
      <c r="H635" s="19">
        <f>(1/376)*40409.34/2*1.2*P4</f>
        <v>79.86846093132695</v>
      </c>
      <c r="I635" s="19">
        <f>(1/376)/2*53206.26*1.2*P4</f>
        <v>105.16138343541432</v>
      </c>
      <c r="J635" s="19">
        <f>(1/376)*66002.16/2*1.2*P4</f>
        <v>130.45228992463603</v>
      </c>
      <c r="K635" s="18">
        <f>(1/376)*28286.64/2*1.2*P4</f>
        <v>55.908124253415444</v>
      </c>
      <c r="L635" s="20" t="s">
        <v>131</v>
      </c>
    </row>
    <row r="636" spans="1:12" s="53" customFormat="1" ht="20.100000000000001" customHeight="1" thickBot="1" x14ac:dyDescent="0.3">
      <c r="A636" s="327"/>
      <c r="B636" s="323"/>
      <c r="C636" s="17">
        <f>C635+C634</f>
        <v>170.58202298390253</v>
      </c>
      <c r="D636" s="17">
        <f t="shared" ref="D636:K636" si="357">D635+D634</f>
        <v>129.16731233661812</v>
      </c>
      <c r="E636" s="17">
        <f t="shared" si="357"/>
        <v>111.69674048076706</v>
      </c>
      <c r="F636" s="17">
        <f t="shared" si="357"/>
        <v>82.65968433558227</v>
      </c>
      <c r="G636" s="17">
        <f t="shared" si="357"/>
        <v>85.004099229199284</v>
      </c>
      <c r="H636" s="17">
        <f t="shared" si="357"/>
        <v>82.65968433558227</v>
      </c>
      <c r="I636" s="17">
        <f t="shared" si="357"/>
        <v>111.64010683966964</v>
      </c>
      <c r="J636" s="17">
        <f t="shared" si="357"/>
        <v>134.40175800974242</v>
      </c>
      <c r="K636" s="17">
        <f t="shared" si="357"/>
        <v>59.857592338521826</v>
      </c>
      <c r="L636" s="34" t="s">
        <v>131</v>
      </c>
    </row>
    <row r="637" spans="1:12" s="53" customFormat="1" ht="20.100000000000001" customHeight="1" thickBot="1" x14ac:dyDescent="0.3">
      <c r="A637" s="328"/>
      <c r="B637" s="265" t="s">
        <v>212</v>
      </c>
      <c r="C637" s="17">
        <f>SUM(C632:C635)</f>
        <v>7438.5288304288733</v>
      </c>
      <c r="D637" s="17">
        <f t="shared" ref="D637:K637" si="358">SUM(D632:D635)</f>
        <v>6587.4831831495785</v>
      </c>
      <c r="E637" s="17">
        <f t="shared" si="358"/>
        <v>1291.0059343009016</v>
      </c>
      <c r="F637" s="17">
        <f t="shared" si="358"/>
        <v>757.4951338228376</v>
      </c>
      <c r="G637" s="17">
        <f t="shared" si="358"/>
        <v>3063.3002752183711</v>
      </c>
      <c r="H637" s="17">
        <f t="shared" si="358"/>
        <v>578.12005548295269</v>
      </c>
      <c r="I637" s="17">
        <f t="shared" si="358"/>
        <v>5525.135000253088</v>
      </c>
      <c r="J637" s="17">
        <f t="shared" si="358"/>
        <v>5134.370040193955</v>
      </c>
      <c r="K637" s="17">
        <f t="shared" si="358"/>
        <v>1118.2440580105176</v>
      </c>
      <c r="L637" s="34"/>
    </row>
    <row r="638" spans="1:12" s="53" customFormat="1" ht="20.100000000000001" hidden="1" customHeight="1" thickBot="1" x14ac:dyDescent="0.3">
      <c r="A638" s="327" t="s">
        <v>1014</v>
      </c>
      <c r="B638" s="321" t="s">
        <v>172</v>
      </c>
      <c r="C638" s="9">
        <v>5637.2690075639603</v>
      </c>
      <c r="D638" s="9">
        <v>7537.335898651686</v>
      </c>
      <c r="E638" s="9">
        <v>815.1612537263627</v>
      </c>
      <c r="F638" s="9">
        <v>491.68985372636268</v>
      </c>
      <c r="G638" s="9">
        <v>1273.6710887652951</v>
      </c>
      <c r="H638" s="9">
        <v>400.6986617352614</v>
      </c>
      <c r="I638" s="9">
        <v>2571.1593146829809</v>
      </c>
      <c r="J638" s="9">
        <v>3602.298231256952</v>
      </c>
      <c r="K638" s="9">
        <v>833.84076540600665</v>
      </c>
      <c r="L638" s="21" t="s">
        <v>131</v>
      </c>
    </row>
    <row r="639" spans="1:12" s="53" customFormat="1" ht="20.100000000000001" customHeight="1" x14ac:dyDescent="0.25">
      <c r="A639" s="327"/>
      <c r="B639" s="322"/>
      <c r="C639" s="10">
        <f>C638/14.06*19.53*1.039</f>
        <v>8135.8180940764851</v>
      </c>
      <c r="D639" s="10">
        <f t="shared" ref="D639:K639" si="359">D638/14.06*19.53*1.039</f>
        <v>10878.032200184454</v>
      </c>
      <c r="E639" s="10">
        <f t="shared" si="359"/>
        <v>1176.4568390755064</v>
      </c>
      <c r="F639" s="10">
        <f t="shared" si="359"/>
        <v>709.61651878830889</v>
      </c>
      <c r="G639" s="10">
        <f t="shared" si="359"/>
        <v>1838.187298845382</v>
      </c>
      <c r="H639" s="10">
        <f t="shared" si="359"/>
        <v>578.29623139214448</v>
      </c>
      <c r="I639" s="10">
        <f t="shared" si="359"/>
        <v>3710.7479609511524</v>
      </c>
      <c r="J639" s="10">
        <f t="shared" si="359"/>
        <v>5198.9080334459277</v>
      </c>
      <c r="K639" s="10">
        <f t="shared" si="359"/>
        <v>1203.4154796704197</v>
      </c>
      <c r="L639" s="21" t="s">
        <v>131</v>
      </c>
    </row>
    <row r="640" spans="1:12" s="53" customFormat="1" ht="20.100000000000001" customHeight="1" x14ac:dyDescent="0.25">
      <c r="A640" s="327"/>
      <c r="B640" s="322"/>
      <c r="C640" s="16">
        <f>C639*0.0214</f>
        <v>174.10650721323677</v>
      </c>
      <c r="D640" s="16">
        <f t="shared" ref="D640:K640" si="360">D639*0.0214</f>
        <v>232.78988908394732</v>
      </c>
      <c r="E640" s="16">
        <f t="shared" si="360"/>
        <v>25.176176356215837</v>
      </c>
      <c r="F640" s="16">
        <f t="shared" si="360"/>
        <v>15.18579350206981</v>
      </c>
      <c r="G640" s="16">
        <f t="shared" si="360"/>
        <v>39.337208195291176</v>
      </c>
      <c r="H640" s="16">
        <f t="shared" si="360"/>
        <v>12.375539351791891</v>
      </c>
      <c r="I640" s="16">
        <f t="shared" si="360"/>
        <v>79.410006364354658</v>
      </c>
      <c r="J640" s="16">
        <f t="shared" si="360"/>
        <v>111.25663191574284</v>
      </c>
      <c r="K640" s="16">
        <f t="shared" si="360"/>
        <v>25.753091264946981</v>
      </c>
      <c r="L640" s="15" t="s">
        <v>131</v>
      </c>
    </row>
    <row r="641" spans="1:12" s="53" customFormat="1" ht="20.100000000000001" hidden="1" customHeight="1" x14ac:dyDescent="0.25">
      <c r="A641" s="327"/>
      <c r="B641" s="322"/>
      <c r="C641" s="16">
        <f>13571/1655.3</f>
        <v>8.1985138645562738</v>
      </c>
      <c r="D641" s="16">
        <f>10305/552</f>
        <v>18.668478260869566</v>
      </c>
      <c r="E641" s="16">
        <f>5485/1655.3</f>
        <v>3.3135987434301941</v>
      </c>
      <c r="F641" s="16">
        <f>11305/2/1655.3</f>
        <v>3.4147888600253733</v>
      </c>
      <c r="G641" s="16">
        <f>8338/1655.3</f>
        <v>5.0371533860931557</v>
      </c>
      <c r="H641" s="16">
        <f>F641</f>
        <v>3.4147888600253733</v>
      </c>
      <c r="I641" s="16">
        <f>19464/1655.3</f>
        <v>11.758593608409353</v>
      </c>
      <c r="J641" s="16">
        <f>3182/1655.3</f>
        <v>1.9223101552588655</v>
      </c>
      <c r="K641" s="16">
        <f>J641</f>
        <v>1.9223101552588655</v>
      </c>
      <c r="L641" s="15" t="s">
        <v>131</v>
      </c>
    </row>
    <row r="642" spans="1:12" s="53" customFormat="1" ht="20.100000000000001" hidden="1" customHeight="1" thickBot="1" x14ac:dyDescent="0.3">
      <c r="A642" s="327"/>
      <c r="B642" s="322"/>
      <c r="C642" s="17">
        <f>169.107306108824*P4</f>
        <v>209.45586432716277</v>
      </c>
      <c r="D642" s="18">
        <f>96.78*P4</f>
        <v>119.87145331578947</v>
      </c>
      <c r="E642" s="18">
        <f>112.738204072549*P4</f>
        <v>139.63724288477476</v>
      </c>
      <c r="F642" s="19">
        <f>84.5536530544119*P4</f>
        <v>104.72793216358126</v>
      </c>
      <c r="G642" s="19">
        <f>84.5536530544119*P4</f>
        <v>104.72793216358126</v>
      </c>
      <c r="H642" s="19">
        <f>84.5536530544119*P4</f>
        <v>104.72793216358126</v>
      </c>
      <c r="I642" s="19">
        <f>111.328567931457*P4</f>
        <v>137.89127126998702</v>
      </c>
      <c r="J642" s="19">
        <f>138.103482808501*P4</f>
        <v>171.05461037639142</v>
      </c>
      <c r="K642" s="18">
        <f>59.1870123511739*P4</f>
        <v>73.308877742868319</v>
      </c>
      <c r="L642" s="20" t="s">
        <v>131</v>
      </c>
    </row>
    <row r="643" spans="1:12" s="53" customFormat="1" ht="20.100000000000001" customHeight="1" thickBot="1" x14ac:dyDescent="0.3">
      <c r="A643" s="327"/>
      <c r="B643" s="323"/>
      <c r="C643" s="17">
        <f>C642+C641</f>
        <v>217.65437819171905</v>
      </c>
      <c r="D643" s="17">
        <f t="shared" ref="D643:K643" si="361">D642+D641</f>
        <v>138.53993157665903</v>
      </c>
      <c r="E643" s="17">
        <f t="shared" si="361"/>
        <v>142.95084162820496</v>
      </c>
      <c r="F643" s="17">
        <f t="shared" si="361"/>
        <v>108.14272102360663</v>
      </c>
      <c r="G643" s="17">
        <f t="shared" si="361"/>
        <v>109.76508554967441</v>
      </c>
      <c r="H643" s="17">
        <f t="shared" si="361"/>
        <v>108.14272102360663</v>
      </c>
      <c r="I643" s="17">
        <f t="shared" si="361"/>
        <v>149.64986487839636</v>
      </c>
      <c r="J643" s="17">
        <f t="shared" si="361"/>
        <v>172.97692053165028</v>
      </c>
      <c r="K643" s="17">
        <f t="shared" si="361"/>
        <v>75.231187898127189</v>
      </c>
      <c r="L643" s="34" t="s">
        <v>131</v>
      </c>
    </row>
    <row r="644" spans="1:12" s="53" customFormat="1" ht="20.100000000000001" customHeight="1" thickBot="1" x14ac:dyDescent="0.3">
      <c r="A644" s="328"/>
      <c r="B644" s="265" t="s">
        <v>212</v>
      </c>
      <c r="C644" s="17">
        <f>SUM(C639:C642)</f>
        <v>8527.5789794814409</v>
      </c>
      <c r="D644" s="17">
        <f t="shared" ref="D644:K644" si="362">SUM(D639:D642)</f>
        <v>11249.362020845061</v>
      </c>
      <c r="E644" s="17">
        <f t="shared" si="362"/>
        <v>1344.5838570599271</v>
      </c>
      <c r="F644" s="17">
        <f t="shared" si="362"/>
        <v>832.94503331398539</v>
      </c>
      <c r="G644" s="17">
        <f t="shared" si="362"/>
        <v>1987.2895925903476</v>
      </c>
      <c r="H644" s="17">
        <f t="shared" si="362"/>
        <v>698.81449176754302</v>
      </c>
      <c r="I644" s="17">
        <f t="shared" si="362"/>
        <v>3939.8078321939033</v>
      </c>
      <c r="J644" s="17">
        <f t="shared" si="362"/>
        <v>5483.1415858933215</v>
      </c>
      <c r="K644" s="17">
        <f t="shared" si="362"/>
        <v>1304.3997588334939</v>
      </c>
      <c r="L644" s="34" t="s">
        <v>131</v>
      </c>
    </row>
    <row r="645" spans="1:12" s="53" customFormat="1" ht="20.100000000000001" hidden="1" customHeight="1" thickBot="1" x14ac:dyDescent="0.3">
      <c r="A645" s="327" t="s">
        <v>1015</v>
      </c>
      <c r="B645" s="321" t="s">
        <v>173</v>
      </c>
      <c r="C645" s="9">
        <v>4092.7525619354833</v>
      </c>
      <c r="D645" s="9">
        <v>7474.3028573055035</v>
      </c>
      <c r="E645" s="9">
        <v>589.92042215053766</v>
      </c>
      <c r="F645" s="9">
        <v>410.77339182795691</v>
      </c>
      <c r="G645" s="9">
        <v>960.31365612903244</v>
      </c>
      <c r="H645" s="9">
        <v>476.76823870967741</v>
      </c>
      <c r="I645" s="9">
        <v>1525.2569191397849</v>
      </c>
      <c r="J645" s="9">
        <v>1829.7850275268818</v>
      </c>
      <c r="K645" s="9">
        <v>422.39387655913976</v>
      </c>
      <c r="L645" s="20" t="s">
        <v>131</v>
      </c>
    </row>
    <row r="646" spans="1:12" s="53" customFormat="1" ht="20.100000000000001" customHeight="1" x14ac:dyDescent="0.25">
      <c r="A646" s="327"/>
      <c r="B646" s="322"/>
      <c r="C646" s="10">
        <f>C645/14.06*19.53*1.039</f>
        <v>5906.741420942345</v>
      </c>
      <c r="D646" s="10">
        <f t="shared" ref="D646:K646" si="363">D645/14.06*19.53*1.039</f>
        <v>10787.061668598886</v>
      </c>
      <c r="E646" s="10">
        <f t="shared" si="363"/>
        <v>851.38481739256042</v>
      </c>
      <c r="F646" s="10">
        <f t="shared" si="363"/>
        <v>592.83628106355604</v>
      </c>
      <c r="G646" s="10">
        <f t="shared" si="363"/>
        <v>1385.943656234979</v>
      </c>
      <c r="H646" s="10">
        <f t="shared" si="363"/>
        <v>688.08134896002832</v>
      </c>
      <c r="I646" s="10">
        <f t="shared" si="363"/>
        <v>2201.2809436985203</v>
      </c>
      <c r="J646" s="10">
        <f t="shared" si="363"/>
        <v>2640.7819309755619</v>
      </c>
      <c r="K646" s="10">
        <f t="shared" si="363"/>
        <v>609.60719439251773</v>
      </c>
      <c r="L646" s="26" t="s">
        <v>131</v>
      </c>
    </row>
    <row r="647" spans="1:12" s="53" customFormat="1" ht="20.100000000000001" customHeight="1" x14ac:dyDescent="0.25">
      <c r="A647" s="327"/>
      <c r="B647" s="322"/>
      <c r="C647" s="16">
        <f>C646*0.0214</f>
        <v>126.40426640816618</v>
      </c>
      <c r="D647" s="16">
        <f t="shared" ref="D647:K647" si="364">D646*0.0214</f>
        <v>230.84311970801616</v>
      </c>
      <c r="E647" s="16">
        <f t="shared" si="364"/>
        <v>18.219635092200793</v>
      </c>
      <c r="F647" s="16">
        <f t="shared" si="364"/>
        <v>12.686696414760098</v>
      </c>
      <c r="G647" s="16">
        <f t="shared" si="364"/>
        <v>29.659194243428548</v>
      </c>
      <c r="H647" s="16">
        <f t="shared" si="364"/>
        <v>14.724940867744605</v>
      </c>
      <c r="I647" s="16">
        <f t="shared" si="364"/>
        <v>47.107412195148335</v>
      </c>
      <c r="J647" s="16">
        <f t="shared" si="364"/>
        <v>56.512733322877018</v>
      </c>
      <c r="K647" s="16">
        <f t="shared" si="364"/>
        <v>13.045593959999879</v>
      </c>
      <c r="L647" s="15" t="s">
        <v>131</v>
      </c>
    </row>
    <row r="648" spans="1:12" s="53" customFormat="1" ht="20.100000000000001" hidden="1" customHeight="1" x14ac:dyDescent="0.25">
      <c r="A648" s="327"/>
      <c r="B648" s="322"/>
      <c r="C648" s="16">
        <f>12522/1685.5</f>
        <v>7.4292494808662122</v>
      </c>
      <c r="D648" s="16">
        <f>9527/421</f>
        <v>22.629453681710213</v>
      </c>
      <c r="E648" s="16">
        <f>5568/1685.5</f>
        <v>3.3034707801839218</v>
      </c>
      <c r="F648" s="16">
        <f>11494/2/1685.5</f>
        <v>3.4096707208543457</v>
      </c>
      <c r="G648" s="16">
        <f>8473/1685.5</f>
        <v>5.0269949569860577</v>
      </c>
      <c r="H648" s="16">
        <f>F648</f>
        <v>3.4096707208543457</v>
      </c>
      <c r="I648" s="16">
        <f>19802/1685.5</f>
        <v>11.748442598635419</v>
      </c>
      <c r="J648" s="16">
        <f>2995/1685.5</f>
        <v>1.7769207950163157</v>
      </c>
      <c r="K648" s="16">
        <f>J648</f>
        <v>1.7769207950163157</v>
      </c>
      <c r="L648" s="15" t="s">
        <v>131</v>
      </c>
    </row>
    <row r="649" spans="1:12" s="53" customFormat="1" ht="20.100000000000001" hidden="1" customHeight="1" thickBot="1" x14ac:dyDescent="0.3">
      <c r="A649" s="327"/>
      <c r="B649" s="322"/>
      <c r="C649" s="17">
        <f>162.336894944425*P4</f>
        <v>201.07005087580967</v>
      </c>
      <c r="D649" s="18">
        <f>98.12*P4</f>
        <v>121.53117378947368</v>
      </c>
      <c r="E649" s="18">
        <f>108.224596629616*P4</f>
        <v>134.04670058387228</v>
      </c>
      <c r="F649" s="19">
        <f>81.1684474722123*P4</f>
        <v>100.53502543790459</v>
      </c>
      <c r="G649" s="19">
        <f>81.1684474722123*P4</f>
        <v>100.53502543790459</v>
      </c>
      <c r="H649" s="19">
        <f>81.1684474722123*P4</f>
        <v>100.53502543790459</v>
      </c>
      <c r="I649" s="19">
        <f>106.872008605235*P4</f>
        <v>132.37138861631615</v>
      </c>
      <c r="J649" s="19">
        <f>132.575569738257*P4</f>
        <v>164.20775179472685</v>
      </c>
      <c r="K649" s="18">
        <f>56.818352097526*P4</f>
        <v>70.375061386016498</v>
      </c>
      <c r="L649" s="20" t="s">
        <v>131</v>
      </c>
    </row>
    <row r="650" spans="1:12" s="53" customFormat="1" ht="20.100000000000001" customHeight="1" thickBot="1" x14ac:dyDescent="0.3">
      <c r="A650" s="327"/>
      <c r="B650" s="323"/>
      <c r="C650" s="17">
        <f>C649+C648</f>
        <v>208.49930035667589</v>
      </c>
      <c r="D650" s="17">
        <f t="shared" ref="D650:K650" si="365">D649+D648</f>
        <v>144.16062747118389</v>
      </c>
      <c r="E650" s="17">
        <f t="shared" si="365"/>
        <v>137.35017136405619</v>
      </c>
      <c r="F650" s="17">
        <f t="shared" si="365"/>
        <v>103.94469615875894</v>
      </c>
      <c r="G650" s="17">
        <f t="shared" si="365"/>
        <v>105.56202039489065</v>
      </c>
      <c r="H650" s="17">
        <f t="shared" si="365"/>
        <v>103.94469615875894</v>
      </c>
      <c r="I650" s="17">
        <f t="shared" si="365"/>
        <v>144.11983121495157</v>
      </c>
      <c r="J650" s="17">
        <f t="shared" si="365"/>
        <v>165.98467258974316</v>
      </c>
      <c r="K650" s="17">
        <f t="shared" si="365"/>
        <v>72.151982181032807</v>
      </c>
      <c r="L650" s="34" t="s">
        <v>131</v>
      </c>
    </row>
    <row r="651" spans="1:12" s="53" customFormat="1" ht="20.100000000000001" customHeight="1" thickBot="1" x14ac:dyDescent="0.3">
      <c r="A651" s="328"/>
      <c r="B651" s="265" t="s">
        <v>212</v>
      </c>
      <c r="C651" s="17">
        <f>SUM(C646:C649)</f>
        <v>6241.6449877071873</v>
      </c>
      <c r="D651" s="17">
        <f t="shared" ref="D651:K651" si="366">SUM(D646:D649)</f>
        <v>11162.065415778085</v>
      </c>
      <c r="E651" s="17">
        <f t="shared" si="366"/>
        <v>1006.9546238488174</v>
      </c>
      <c r="F651" s="17">
        <f t="shared" si="366"/>
        <v>709.46767363707511</v>
      </c>
      <c r="G651" s="17">
        <f t="shared" si="366"/>
        <v>1521.1648708732982</v>
      </c>
      <c r="H651" s="17">
        <f t="shared" si="366"/>
        <v>806.75098598653187</v>
      </c>
      <c r="I651" s="17">
        <f t="shared" si="366"/>
        <v>2392.5081871086204</v>
      </c>
      <c r="J651" s="17">
        <f t="shared" si="366"/>
        <v>2863.2793368881821</v>
      </c>
      <c r="K651" s="17">
        <f t="shared" si="366"/>
        <v>694.80477053355037</v>
      </c>
      <c r="L651" s="34" t="s">
        <v>131</v>
      </c>
    </row>
    <row r="652" spans="1:12" s="53" customFormat="1" ht="20.100000000000001" hidden="1" customHeight="1" thickBot="1" x14ac:dyDescent="0.3">
      <c r="A652" s="327" t="s">
        <v>1016</v>
      </c>
      <c r="B652" s="321" t="s">
        <v>41</v>
      </c>
      <c r="C652" s="9">
        <v>5323.698130533975</v>
      </c>
      <c r="D652" s="9">
        <v>7053.1623764483948</v>
      </c>
      <c r="E652" s="9">
        <v>768.5170720347237</v>
      </c>
      <c r="F652" s="9">
        <v>405.01661900849973</v>
      </c>
      <c r="G652" s="9" t="s">
        <v>131</v>
      </c>
      <c r="H652" s="9">
        <v>557.34129689320196</v>
      </c>
      <c r="I652" s="9">
        <v>3661.2506793706775</v>
      </c>
      <c r="J652" s="9">
        <v>2995.6996641013407</v>
      </c>
      <c r="K652" s="9" t="s">
        <v>131</v>
      </c>
      <c r="L652" s="20" t="s">
        <v>131</v>
      </c>
    </row>
    <row r="653" spans="1:12" s="53" customFormat="1" ht="20.100000000000001" customHeight="1" x14ac:dyDescent="0.25">
      <c r="A653" s="327"/>
      <c r="B653" s="322"/>
      <c r="C653" s="10">
        <f>C652/12.79*19.53*1.039</f>
        <v>8446.1865241917403</v>
      </c>
      <c r="D653" s="10">
        <f t="shared" ref="D653:J653" si="367">D652/12.79*19.53*1.039</f>
        <v>11190.026849046646</v>
      </c>
      <c r="E653" s="10">
        <f t="shared" si="367"/>
        <v>1219.2724640418171</v>
      </c>
      <c r="F653" s="10">
        <f t="shared" si="367"/>
        <v>642.56947438906991</v>
      </c>
      <c r="G653" s="10" t="s">
        <v>131</v>
      </c>
      <c r="H653" s="10">
        <f t="shared" si="367"/>
        <v>884.23656559256301</v>
      </c>
      <c r="I653" s="10">
        <f t="shared" si="367"/>
        <v>5808.6700995360134</v>
      </c>
      <c r="J653" s="10">
        <f t="shared" si="367"/>
        <v>4752.755981474219</v>
      </c>
      <c r="K653" s="10" t="s">
        <v>131</v>
      </c>
      <c r="L653" s="26" t="s">
        <v>131</v>
      </c>
    </row>
    <row r="654" spans="1:12" s="53" customFormat="1" ht="20.100000000000001" customHeight="1" x14ac:dyDescent="0.25">
      <c r="A654" s="327"/>
      <c r="B654" s="322"/>
      <c r="C654" s="16">
        <f>C653*0.0214</f>
        <v>180.74839161770322</v>
      </c>
      <c r="D654" s="16">
        <f t="shared" ref="D654:J654" si="368">D653*0.0214</f>
        <v>239.46657456959821</v>
      </c>
      <c r="E654" s="16">
        <f t="shared" si="368"/>
        <v>26.092430730494886</v>
      </c>
      <c r="F654" s="16">
        <f t="shared" si="368"/>
        <v>13.750986751926096</v>
      </c>
      <c r="G654" s="16" t="s">
        <v>131</v>
      </c>
      <c r="H654" s="16">
        <f t="shared" si="368"/>
        <v>18.922662503680847</v>
      </c>
      <c r="I654" s="16">
        <f t="shared" si="368"/>
        <v>124.30554013007068</v>
      </c>
      <c r="J654" s="16">
        <f t="shared" si="368"/>
        <v>101.70897800354828</v>
      </c>
      <c r="K654" s="16" t="s">
        <v>131</v>
      </c>
      <c r="L654" s="15" t="s">
        <v>131</v>
      </c>
    </row>
    <row r="655" spans="1:12" s="53" customFormat="1" ht="20.100000000000001" hidden="1" customHeight="1" x14ac:dyDescent="0.25">
      <c r="A655" s="327"/>
      <c r="B655" s="322"/>
      <c r="C655" s="16">
        <f>7111/737</f>
        <v>9.6485753052917236</v>
      </c>
      <c r="D655" s="16">
        <f>5513/387</f>
        <v>14.24547803617571</v>
      </c>
      <c r="E655" s="16">
        <f>2952/737</f>
        <v>4.0054274084124835</v>
      </c>
      <c r="F655" s="16">
        <f>4224/2/737</f>
        <v>2.8656716417910446</v>
      </c>
      <c r="G655" s="16" t="s">
        <v>131</v>
      </c>
      <c r="H655" s="16">
        <f>F655</f>
        <v>2.8656716417910446</v>
      </c>
      <c r="I655" s="16">
        <f>5876/737</f>
        <v>7.9728629579375845</v>
      </c>
      <c r="J655" s="16">
        <f>2027/737</f>
        <v>2.75033921302578</v>
      </c>
      <c r="K655" s="16" t="s">
        <v>131</v>
      </c>
      <c r="L655" s="15" t="s">
        <v>131</v>
      </c>
    </row>
    <row r="656" spans="1:12" s="53" customFormat="1" ht="20.100000000000001" hidden="1" customHeight="1" thickBot="1" x14ac:dyDescent="0.3">
      <c r="A656" s="327"/>
      <c r="B656" s="322"/>
      <c r="C656" s="17">
        <f>(1/737.3)*86669.4*1.2*P4</f>
        <v>174.71611137278975</v>
      </c>
      <c r="D656" s="18">
        <f>(1/737.3)*73669.5*1.2*P4</f>
        <v>148.50972277156339</v>
      </c>
      <c r="E656" s="18">
        <f>(1/737.3)*57779.94*1.2*P4</f>
        <v>116.4780929849879</v>
      </c>
      <c r="F656" s="19">
        <f>(1/737.3)*43334.7*1.2*P4</f>
        <v>87.358055686394877</v>
      </c>
      <c r="G656" s="19" t="s">
        <v>131</v>
      </c>
      <c r="H656" s="19">
        <f>(1/737.3)*43334.7*1.2*P4</f>
        <v>87.358055686394877</v>
      </c>
      <c r="I656" s="19">
        <f>(1/737.3)*57057.78*1.2*P4</f>
        <v>115.02229674099665</v>
      </c>
      <c r="J656" s="19">
        <f>(1/737.3)*70779.84*1.2*P4</f>
        <v>142.68448158621425</v>
      </c>
      <c r="K656" s="18" t="s">
        <v>131</v>
      </c>
      <c r="L656" s="20" t="s">
        <v>131</v>
      </c>
    </row>
    <row r="657" spans="1:12" s="53" customFormat="1" ht="20.100000000000001" customHeight="1" thickBot="1" x14ac:dyDescent="0.3">
      <c r="A657" s="327"/>
      <c r="B657" s="323"/>
      <c r="C657" s="17">
        <f>C656+C655</f>
        <v>184.36468667808148</v>
      </c>
      <c r="D657" s="17">
        <f t="shared" ref="D657:J657" si="369">D656+D655</f>
        <v>162.7552008077391</v>
      </c>
      <c r="E657" s="17">
        <f t="shared" si="369"/>
        <v>120.48352039340038</v>
      </c>
      <c r="F657" s="17">
        <f t="shared" si="369"/>
        <v>90.223727328185916</v>
      </c>
      <c r="G657" s="17" t="s">
        <v>131</v>
      </c>
      <c r="H657" s="17">
        <f t="shared" si="369"/>
        <v>90.223727328185916</v>
      </c>
      <c r="I657" s="17">
        <f t="shared" si="369"/>
        <v>122.99515969893423</v>
      </c>
      <c r="J657" s="17">
        <f t="shared" si="369"/>
        <v>145.43482079924001</v>
      </c>
      <c r="K657" s="18" t="s">
        <v>131</v>
      </c>
      <c r="L657" s="34" t="s">
        <v>131</v>
      </c>
    </row>
    <row r="658" spans="1:12" s="53" customFormat="1" ht="20.100000000000001" customHeight="1" thickBot="1" x14ac:dyDescent="0.3">
      <c r="A658" s="328"/>
      <c r="B658" s="265" t="s">
        <v>212</v>
      </c>
      <c r="C658" s="36">
        <f>SUM(C653:C656)</f>
        <v>8811.2996024875229</v>
      </c>
      <c r="D658" s="36">
        <f t="shared" ref="D658:J658" si="370">SUM(D653:D656)</f>
        <v>11592.248624423983</v>
      </c>
      <c r="E658" s="36">
        <f t="shared" si="370"/>
        <v>1365.8484151657124</v>
      </c>
      <c r="F658" s="36">
        <f t="shared" si="370"/>
        <v>746.54418846918202</v>
      </c>
      <c r="G658" s="36" t="s">
        <v>131</v>
      </c>
      <c r="H658" s="36">
        <f t="shared" si="370"/>
        <v>993.38295542442984</v>
      </c>
      <c r="I658" s="36">
        <f t="shared" si="370"/>
        <v>6055.9707993650181</v>
      </c>
      <c r="J658" s="36">
        <f t="shared" si="370"/>
        <v>4999.8997802770073</v>
      </c>
      <c r="K658" s="36" t="s">
        <v>131</v>
      </c>
      <c r="L658" s="34" t="s">
        <v>131</v>
      </c>
    </row>
    <row r="659" spans="1:12" s="53" customFormat="1" ht="20.100000000000001" customHeight="1" thickBot="1" x14ac:dyDescent="0.3">
      <c r="A659" s="311" t="s">
        <v>1017</v>
      </c>
      <c r="B659" s="312"/>
      <c r="C659" s="312"/>
      <c r="D659" s="312"/>
      <c r="E659" s="312"/>
      <c r="F659" s="312"/>
      <c r="G659" s="312"/>
      <c r="H659" s="312"/>
      <c r="I659" s="312"/>
      <c r="J659" s="312"/>
      <c r="K659" s="312"/>
      <c r="L659" s="313"/>
    </row>
    <row r="660" spans="1:12" s="53" customFormat="1" ht="20.100000000000001" customHeight="1" thickBot="1" x14ac:dyDescent="0.3">
      <c r="A660" s="311" t="s">
        <v>1018</v>
      </c>
      <c r="B660" s="312"/>
      <c r="C660" s="312"/>
      <c r="D660" s="312"/>
      <c r="E660" s="312"/>
      <c r="F660" s="312"/>
      <c r="G660" s="312"/>
      <c r="H660" s="312"/>
      <c r="I660" s="312"/>
      <c r="J660" s="312"/>
      <c r="K660" s="312"/>
      <c r="L660" s="313"/>
    </row>
    <row r="661" spans="1:12" s="73" customFormat="1" ht="20.100000000000001" hidden="1" customHeight="1" thickBot="1" x14ac:dyDescent="0.3">
      <c r="A661" s="327" t="s">
        <v>1019</v>
      </c>
      <c r="B661" s="321" t="s">
        <v>231</v>
      </c>
      <c r="C661" s="9">
        <v>3285.280282380083</v>
      </c>
      <c r="D661" s="9">
        <v>7336.6797109947647</v>
      </c>
      <c r="E661" s="9">
        <v>498.09759392538945</v>
      </c>
      <c r="F661" s="9">
        <v>347.6371666791884</v>
      </c>
      <c r="G661" s="9">
        <v>824.56241186440695</v>
      </c>
      <c r="H661" s="9">
        <v>406.44228842956085</v>
      </c>
      <c r="I661" s="9">
        <v>1289.6855097457628</v>
      </c>
      <c r="J661" s="9">
        <v>1587.1043168713286</v>
      </c>
      <c r="K661" s="9">
        <v>359.94541090636397</v>
      </c>
      <c r="L661" s="20" t="s">
        <v>131</v>
      </c>
    </row>
    <row r="662" spans="1:12" s="73" customFormat="1" ht="20.100000000000001" customHeight="1" x14ac:dyDescent="0.25">
      <c r="A662" s="327"/>
      <c r="B662" s="322"/>
      <c r="C662" s="10">
        <f>C661/13.19*19.53*1.039</f>
        <v>5054.1185252133027</v>
      </c>
      <c r="D662" s="10">
        <f t="shared" ref="D662:K662" si="371">D661/13.19*19.53*1.039</f>
        <v>11286.844851493643</v>
      </c>
      <c r="E662" s="10">
        <f t="shared" si="371"/>
        <v>766.27990930462522</v>
      </c>
      <c r="F662" s="10">
        <f t="shared" si="371"/>
        <v>534.80960318340317</v>
      </c>
      <c r="G662" s="10">
        <f t="shared" si="371"/>
        <v>1268.5176918845057</v>
      </c>
      <c r="H662" s="10">
        <f t="shared" si="371"/>
        <v>625.27617823028561</v>
      </c>
      <c r="I662" s="10">
        <f t="shared" si="371"/>
        <v>1984.0692014816379</v>
      </c>
      <c r="J662" s="10">
        <f t="shared" si="371"/>
        <v>2441.6222178565904</v>
      </c>
      <c r="K662" s="10">
        <f t="shared" si="371"/>
        <v>553.7447684705337</v>
      </c>
      <c r="L662" s="26" t="s">
        <v>131</v>
      </c>
    </row>
    <row r="663" spans="1:12" s="73" customFormat="1" ht="20.100000000000001" customHeight="1" x14ac:dyDescent="0.25">
      <c r="A663" s="327"/>
      <c r="B663" s="322"/>
      <c r="C663" s="16">
        <f>C662*0.0214</f>
        <v>108.15813643956467</v>
      </c>
      <c r="D663" s="16">
        <f t="shared" ref="D663:K663" si="372">D662*0.0214</f>
        <v>241.53847982196393</v>
      </c>
      <c r="E663" s="16">
        <f t="shared" si="372"/>
        <v>16.398390059118977</v>
      </c>
      <c r="F663" s="16">
        <f t="shared" si="372"/>
        <v>11.444925508124827</v>
      </c>
      <c r="G663" s="16">
        <f t="shared" si="372"/>
        <v>27.146278606328419</v>
      </c>
      <c r="H663" s="16">
        <f t="shared" si="372"/>
        <v>13.380910214128111</v>
      </c>
      <c r="I663" s="16">
        <f t="shared" si="372"/>
        <v>42.459080911707048</v>
      </c>
      <c r="J663" s="16">
        <f t="shared" si="372"/>
        <v>52.250715462131033</v>
      </c>
      <c r="K663" s="16">
        <f t="shared" si="372"/>
        <v>11.850138045269421</v>
      </c>
      <c r="L663" s="15" t="s">
        <v>131</v>
      </c>
    </row>
    <row r="664" spans="1:12" s="73" customFormat="1" ht="20.100000000000001" hidden="1" customHeight="1" x14ac:dyDescent="0.25">
      <c r="A664" s="327"/>
      <c r="B664" s="322"/>
      <c r="C664" s="16">
        <f>14462/1652</f>
        <v>8.7542372881355934</v>
      </c>
      <c r="D664" s="16">
        <f>11526/413</f>
        <v>27.907990314769975</v>
      </c>
      <c r="E664" s="16">
        <f>7646/1652</f>
        <v>4.628329297820823</v>
      </c>
      <c r="F664" s="16">
        <f>13454/2/1652</f>
        <v>4.0720338983050848</v>
      </c>
      <c r="G664" s="16">
        <f>10493/1652</f>
        <v>6.351694915254237</v>
      </c>
      <c r="H664" s="16">
        <f>F664</f>
        <v>4.0720338983050848</v>
      </c>
      <c r="I664" s="16">
        <f>21597/1652</f>
        <v>13.073244552058112</v>
      </c>
      <c r="J664" s="16">
        <f>5124/1652</f>
        <v>3.1016949152542375</v>
      </c>
      <c r="K664" s="16">
        <f>J664</f>
        <v>3.1016949152542375</v>
      </c>
      <c r="L664" s="15" t="s">
        <v>131</v>
      </c>
    </row>
    <row r="665" spans="1:12" s="73" customFormat="1" ht="20.100000000000001" hidden="1" customHeight="1" thickBot="1" x14ac:dyDescent="0.3">
      <c r="A665" s="327"/>
      <c r="B665" s="322"/>
      <c r="C665" s="18">
        <f>(1/1652)*192818.76*1.2*P4</f>
        <v>173.48049059434177</v>
      </c>
      <c r="D665" s="18">
        <f>(1/813)*67486.26*1.2*P4</f>
        <v>123.3775705395999</v>
      </c>
      <c r="E665" s="18">
        <f>(1/1652)*128545.5*1.2*P4</f>
        <v>115.65335449566712</v>
      </c>
      <c r="F665" s="18">
        <f>(1/1652)*96409.38*1.2*P4</f>
        <v>86.740245297170887</v>
      </c>
      <c r="G665" s="19">
        <f>(1/1652)*96409.38*1.2*P4</f>
        <v>86.740245297170887</v>
      </c>
      <c r="H665" s="19">
        <f>(1/1652)*96409.38*1.2*P4</f>
        <v>86.740245297170887</v>
      </c>
      <c r="I665" s="19">
        <f>(1/1652)*126939*1.2*P4</f>
        <v>114.20797434624696</v>
      </c>
      <c r="J665" s="19">
        <f>(1/1652)*157468.62*1.2*P4</f>
        <v>141.67570339532304</v>
      </c>
      <c r="K665" s="18">
        <f>(1/1652)*67486.26*1.2*P4</f>
        <v>60.717896397514963</v>
      </c>
      <c r="L665" s="20" t="s">
        <v>131</v>
      </c>
    </row>
    <row r="666" spans="1:12" s="73" customFormat="1" ht="20.100000000000001" customHeight="1" thickBot="1" x14ac:dyDescent="0.3">
      <c r="A666" s="327"/>
      <c r="B666" s="323"/>
      <c r="C666" s="18">
        <f>C665+C664</f>
        <v>182.23472788247736</v>
      </c>
      <c r="D666" s="18">
        <f t="shared" ref="D666:K666" si="373">D665+D664</f>
        <v>151.28556085436986</v>
      </c>
      <c r="E666" s="18">
        <f t="shared" si="373"/>
        <v>120.28168379348794</v>
      </c>
      <c r="F666" s="18">
        <f t="shared" si="373"/>
        <v>90.812279195475966</v>
      </c>
      <c r="G666" s="18">
        <f t="shared" si="373"/>
        <v>93.091940212425129</v>
      </c>
      <c r="H666" s="18">
        <f t="shared" si="373"/>
        <v>90.812279195475966</v>
      </c>
      <c r="I666" s="18">
        <f t="shared" si="373"/>
        <v>127.28121889830507</v>
      </c>
      <c r="J666" s="18">
        <f t="shared" si="373"/>
        <v>144.77739831057727</v>
      </c>
      <c r="K666" s="18">
        <f t="shared" si="373"/>
        <v>63.819591312769198</v>
      </c>
      <c r="L666" s="34" t="s">
        <v>131</v>
      </c>
    </row>
    <row r="667" spans="1:12" s="73" customFormat="1" ht="20.100000000000001" customHeight="1" thickBot="1" x14ac:dyDescent="0.3">
      <c r="A667" s="328"/>
      <c r="B667" s="265" t="s">
        <v>212</v>
      </c>
      <c r="C667" s="18">
        <f>SUM(C662:C665)</f>
        <v>5344.5113895353443</v>
      </c>
      <c r="D667" s="18">
        <f t="shared" ref="D667:K667" si="374">SUM(D662:D665)</f>
        <v>11679.668892169977</v>
      </c>
      <c r="E667" s="18">
        <f t="shared" si="374"/>
        <v>902.95998315723216</v>
      </c>
      <c r="F667" s="18">
        <f t="shared" si="374"/>
        <v>637.06680788700396</v>
      </c>
      <c r="G667" s="18">
        <f t="shared" si="374"/>
        <v>1388.7559107032594</v>
      </c>
      <c r="H667" s="18">
        <f t="shared" si="374"/>
        <v>729.4693676398897</v>
      </c>
      <c r="I667" s="18">
        <f t="shared" si="374"/>
        <v>2153.8095012916501</v>
      </c>
      <c r="J667" s="18">
        <f t="shared" si="374"/>
        <v>2638.6503316292988</v>
      </c>
      <c r="K667" s="18">
        <f t="shared" si="374"/>
        <v>629.41449782857239</v>
      </c>
      <c r="L667" s="34" t="s">
        <v>131</v>
      </c>
    </row>
    <row r="668" spans="1:12" s="53" customFormat="1" ht="20.100000000000001" hidden="1" customHeight="1" thickBot="1" x14ac:dyDescent="0.3">
      <c r="A668" s="327" t="s">
        <v>1020</v>
      </c>
      <c r="B668" s="321" t="s">
        <v>232</v>
      </c>
      <c r="C668" s="9">
        <v>3285.280282380083</v>
      </c>
      <c r="D668" s="9">
        <v>7336.6797109947647</v>
      </c>
      <c r="E668" s="9">
        <v>498.09759392538945</v>
      </c>
      <c r="F668" s="9">
        <v>347.6371666791884</v>
      </c>
      <c r="G668" s="9">
        <v>824.56241186440695</v>
      </c>
      <c r="H668" s="9">
        <v>406.44228842956085</v>
      </c>
      <c r="I668" s="9">
        <v>1289.6855097457628</v>
      </c>
      <c r="J668" s="9">
        <v>1587.1043168713286</v>
      </c>
      <c r="K668" s="9">
        <v>359.94541090636397</v>
      </c>
      <c r="L668" s="20" t="s">
        <v>131</v>
      </c>
    </row>
    <row r="669" spans="1:12" s="53" customFormat="1" ht="20.100000000000001" customHeight="1" x14ac:dyDescent="0.25">
      <c r="A669" s="327"/>
      <c r="B669" s="322"/>
      <c r="C669" s="10">
        <f>C668/13.19*19.53*1.039</f>
        <v>5054.1185252133027</v>
      </c>
      <c r="D669" s="10">
        <f t="shared" ref="D669:K669" si="375">D668/13.19*19.53*1.039</f>
        <v>11286.844851493643</v>
      </c>
      <c r="E669" s="10">
        <f t="shared" si="375"/>
        <v>766.27990930462522</v>
      </c>
      <c r="F669" s="10">
        <f t="shared" si="375"/>
        <v>534.80960318340317</v>
      </c>
      <c r="G669" s="10">
        <f t="shared" si="375"/>
        <v>1268.5176918845057</v>
      </c>
      <c r="H669" s="10">
        <f t="shared" si="375"/>
        <v>625.27617823028561</v>
      </c>
      <c r="I669" s="10">
        <f t="shared" si="375"/>
        <v>1984.0692014816379</v>
      </c>
      <c r="J669" s="10">
        <f t="shared" si="375"/>
        <v>2441.6222178565904</v>
      </c>
      <c r="K669" s="10">
        <f t="shared" si="375"/>
        <v>553.7447684705337</v>
      </c>
      <c r="L669" s="26" t="s">
        <v>131</v>
      </c>
    </row>
    <row r="670" spans="1:12" s="53" customFormat="1" ht="20.100000000000001" customHeight="1" x14ac:dyDescent="0.25">
      <c r="A670" s="327"/>
      <c r="B670" s="322"/>
      <c r="C670" s="16">
        <f>C669*0.0214</f>
        <v>108.15813643956467</v>
      </c>
      <c r="D670" s="16">
        <f t="shared" ref="D670:K670" si="376">D669*0.0214</f>
        <v>241.53847982196393</v>
      </c>
      <c r="E670" s="16">
        <f t="shared" si="376"/>
        <v>16.398390059118977</v>
      </c>
      <c r="F670" s="16">
        <f t="shared" si="376"/>
        <v>11.444925508124827</v>
      </c>
      <c r="G670" s="16">
        <f t="shared" si="376"/>
        <v>27.146278606328419</v>
      </c>
      <c r="H670" s="16">
        <f t="shared" si="376"/>
        <v>13.380910214128111</v>
      </c>
      <c r="I670" s="16">
        <f t="shared" si="376"/>
        <v>42.459080911707048</v>
      </c>
      <c r="J670" s="16">
        <f t="shared" si="376"/>
        <v>52.250715462131033</v>
      </c>
      <c r="K670" s="16">
        <f t="shared" si="376"/>
        <v>11.850138045269421</v>
      </c>
      <c r="L670" s="15" t="s">
        <v>131</v>
      </c>
    </row>
    <row r="671" spans="1:12" s="53" customFormat="1" ht="20.100000000000001" hidden="1" customHeight="1" x14ac:dyDescent="0.25">
      <c r="A671" s="327"/>
      <c r="B671" s="322"/>
      <c r="C671" s="16">
        <f>14462/1652</f>
        <v>8.7542372881355934</v>
      </c>
      <c r="D671" s="16">
        <f>11526/413</f>
        <v>27.907990314769975</v>
      </c>
      <c r="E671" s="16">
        <f>7646/1652</f>
        <v>4.628329297820823</v>
      </c>
      <c r="F671" s="16">
        <f>13454/2/1652</f>
        <v>4.0720338983050848</v>
      </c>
      <c r="G671" s="16">
        <f>10493/1652</f>
        <v>6.351694915254237</v>
      </c>
      <c r="H671" s="16">
        <f>F671</f>
        <v>4.0720338983050848</v>
      </c>
      <c r="I671" s="16">
        <f>21597/1652</f>
        <v>13.073244552058112</v>
      </c>
      <c r="J671" s="16">
        <f>5124/1652</f>
        <v>3.1016949152542375</v>
      </c>
      <c r="K671" s="16">
        <f>J671</f>
        <v>3.1016949152542375</v>
      </c>
      <c r="L671" s="15" t="s">
        <v>131</v>
      </c>
    </row>
    <row r="672" spans="1:12" s="53" customFormat="1" ht="20.100000000000001" hidden="1" customHeight="1" thickBot="1" x14ac:dyDescent="0.3">
      <c r="A672" s="327"/>
      <c r="B672" s="322"/>
      <c r="C672" s="18">
        <f>(1/1652)*192818.76*1.2*P4</f>
        <v>173.48049059434177</v>
      </c>
      <c r="D672" s="18">
        <f>(1/813)*67486.26*1.2*P4</f>
        <v>123.3775705395999</v>
      </c>
      <c r="E672" s="18">
        <f>(1/1652)*128545.5*1.2*P4</f>
        <v>115.65335449566712</v>
      </c>
      <c r="F672" s="18">
        <f>(1/1652)*96409.38*1.2*P4</f>
        <v>86.740245297170887</v>
      </c>
      <c r="G672" s="19">
        <f>(1/1652)*96409.38*1.2*P4</f>
        <v>86.740245297170887</v>
      </c>
      <c r="H672" s="19">
        <f>(1/1652)*96409.38*1.2*P4</f>
        <v>86.740245297170887</v>
      </c>
      <c r="I672" s="19">
        <f>(1/1652)*126939*1.2*P4</f>
        <v>114.20797434624696</v>
      </c>
      <c r="J672" s="19">
        <f>(1/1652)*157468.62*1.2*P4</f>
        <v>141.67570339532304</v>
      </c>
      <c r="K672" s="18">
        <f>(1/1652)*67486.26*1.2*P4</f>
        <v>60.717896397514963</v>
      </c>
      <c r="L672" s="20" t="s">
        <v>131</v>
      </c>
    </row>
    <row r="673" spans="1:12" s="53" customFormat="1" ht="20.100000000000001" customHeight="1" thickBot="1" x14ac:dyDescent="0.3">
      <c r="A673" s="327"/>
      <c r="B673" s="323"/>
      <c r="C673" s="18">
        <f>C672+C671</f>
        <v>182.23472788247736</v>
      </c>
      <c r="D673" s="18">
        <f t="shared" ref="D673:K673" si="377">D672+D671</f>
        <v>151.28556085436986</v>
      </c>
      <c r="E673" s="18">
        <f t="shared" si="377"/>
        <v>120.28168379348794</v>
      </c>
      <c r="F673" s="18">
        <f t="shared" si="377"/>
        <v>90.812279195475966</v>
      </c>
      <c r="G673" s="18">
        <f t="shared" si="377"/>
        <v>93.091940212425129</v>
      </c>
      <c r="H673" s="18">
        <f t="shared" si="377"/>
        <v>90.812279195475966</v>
      </c>
      <c r="I673" s="18">
        <f t="shared" si="377"/>
        <v>127.28121889830507</v>
      </c>
      <c r="J673" s="18">
        <f t="shared" si="377"/>
        <v>144.77739831057727</v>
      </c>
      <c r="K673" s="18">
        <f t="shared" si="377"/>
        <v>63.819591312769198</v>
      </c>
      <c r="L673" s="34" t="s">
        <v>131</v>
      </c>
    </row>
    <row r="674" spans="1:12" s="53" customFormat="1" ht="20.100000000000001" customHeight="1" thickBot="1" x14ac:dyDescent="0.3">
      <c r="A674" s="328"/>
      <c r="B674" s="265" t="s">
        <v>212</v>
      </c>
      <c r="C674" s="18">
        <f>SUM(C669:C672)</f>
        <v>5344.5113895353443</v>
      </c>
      <c r="D674" s="18">
        <f t="shared" ref="D674:K674" si="378">SUM(D669:D672)</f>
        <v>11679.668892169977</v>
      </c>
      <c r="E674" s="18">
        <f t="shared" si="378"/>
        <v>902.95998315723216</v>
      </c>
      <c r="F674" s="18">
        <f t="shared" si="378"/>
        <v>637.06680788700396</v>
      </c>
      <c r="G674" s="18">
        <f t="shared" si="378"/>
        <v>1388.7559107032594</v>
      </c>
      <c r="H674" s="18">
        <f t="shared" si="378"/>
        <v>729.4693676398897</v>
      </c>
      <c r="I674" s="18">
        <f t="shared" si="378"/>
        <v>2153.8095012916501</v>
      </c>
      <c r="J674" s="18">
        <f t="shared" si="378"/>
        <v>2638.6503316292988</v>
      </c>
      <c r="K674" s="18">
        <f t="shared" si="378"/>
        <v>629.41449782857239</v>
      </c>
      <c r="L674" s="34" t="s">
        <v>131</v>
      </c>
    </row>
    <row r="675" spans="1:12" s="53" customFormat="1" ht="20.100000000000001" hidden="1" customHeight="1" x14ac:dyDescent="0.25">
      <c r="A675" s="327" t="s">
        <v>1021</v>
      </c>
      <c r="B675" s="321" t="s">
        <v>78</v>
      </c>
      <c r="C675" s="138">
        <v>5069.1017886696827</v>
      </c>
      <c r="D675" s="35">
        <v>4437.7622675159237</v>
      </c>
      <c r="E675" s="35">
        <v>820.68839014283071</v>
      </c>
      <c r="F675" s="35">
        <v>469.67582763073159</v>
      </c>
      <c r="G675" s="35">
        <v>2070.7857494559303</v>
      </c>
      <c r="H675" s="35">
        <v>354.32011450200366</v>
      </c>
      <c r="I675" s="35">
        <v>3765.8713759521215</v>
      </c>
      <c r="J675" s="35">
        <v>3521.0188617107519</v>
      </c>
      <c r="K675" s="35">
        <v>757.14433785906567</v>
      </c>
      <c r="L675" s="12" t="s">
        <v>131</v>
      </c>
    </row>
    <row r="676" spans="1:12" s="53" customFormat="1" ht="20.100000000000001" customHeight="1" x14ac:dyDescent="0.25">
      <c r="A676" s="327"/>
      <c r="B676" s="322"/>
      <c r="C676" s="14">
        <f t="shared" ref="C676:K676" si="379">C675/13.19*19.53*1.039</f>
        <v>7798.3730623271376</v>
      </c>
      <c r="D676" s="16">
        <f t="shared" si="379"/>
        <v>6827.1120144719362</v>
      </c>
      <c r="E676" s="16">
        <f t="shared" si="379"/>
        <v>1262.5578457626666</v>
      </c>
      <c r="F676" s="16">
        <f t="shared" si="379"/>
        <v>722.55548910232665</v>
      </c>
      <c r="G676" s="16">
        <f t="shared" si="379"/>
        <v>3185.7241143792585</v>
      </c>
      <c r="H676" s="16">
        <f t="shared" si="379"/>
        <v>545.09073827421332</v>
      </c>
      <c r="I676" s="16">
        <f t="shared" si="379"/>
        <v>5793.4662034318717</v>
      </c>
      <c r="J676" s="16">
        <f t="shared" si="379"/>
        <v>5416.7818654746179</v>
      </c>
      <c r="K676" s="16">
        <f t="shared" si="379"/>
        <v>1164.8008374681326</v>
      </c>
      <c r="L676" s="15" t="s">
        <v>131</v>
      </c>
    </row>
    <row r="677" spans="1:12" s="53" customFormat="1" ht="20.100000000000001" customHeight="1" x14ac:dyDescent="0.25">
      <c r="A677" s="327"/>
      <c r="B677" s="322"/>
      <c r="C677" s="14">
        <f>C676*0.0214</f>
        <v>166.88518353380073</v>
      </c>
      <c r="D677" s="16">
        <f t="shared" ref="D677:K677" si="380">D676*0.0214</f>
        <v>146.10019710969942</v>
      </c>
      <c r="E677" s="16">
        <f t="shared" si="380"/>
        <v>27.018737899321064</v>
      </c>
      <c r="F677" s="16">
        <f t="shared" si="380"/>
        <v>15.46268746678979</v>
      </c>
      <c r="G677" s="16">
        <f t="shared" si="380"/>
        <v>68.174496047716133</v>
      </c>
      <c r="H677" s="16">
        <f t="shared" si="380"/>
        <v>11.664941799068165</v>
      </c>
      <c r="I677" s="16">
        <f t="shared" si="380"/>
        <v>123.98017675344205</v>
      </c>
      <c r="J677" s="16">
        <f t="shared" si="380"/>
        <v>115.91913192115682</v>
      </c>
      <c r="K677" s="16">
        <f t="shared" si="380"/>
        <v>24.926737921818038</v>
      </c>
      <c r="L677" s="15" t="s">
        <v>131</v>
      </c>
    </row>
    <row r="678" spans="1:12" s="53" customFormat="1" ht="20.100000000000001" hidden="1" customHeight="1" x14ac:dyDescent="0.25">
      <c r="A678" s="327"/>
      <c r="B678" s="322"/>
      <c r="C678" s="14">
        <f>6177/367.6</f>
        <v>16.803590859630031</v>
      </c>
      <c r="D678" s="16">
        <f>5380/184</f>
        <v>29.239130434782609</v>
      </c>
      <c r="E678" s="16">
        <f>4104/367.6</f>
        <v>11.164309031556039</v>
      </c>
      <c r="F678" s="16">
        <f>4243/2/367.6</f>
        <v>5.771218715995647</v>
      </c>
      <c r="G678" s="16">
        <f>4079/367.6</f>
        <v>11.096300326441783</v>
      </c>
      <c r="H678" s="16">
        <f>F678</f>
        <v>5.771218715995647</v>
      </c>
      <c r="I678" s="16">
        <f>4573/367.6</f>
        <v>12.440152339499456</v>
      </c>
      <c r="J678" s="16">
        <f>3642/367.6</f>
        <v>9.9075081610446123</v>
      </c>
      <c r="K678" s="16">
        <f>J678</f>
        <v>9.9075081610446123</v>
      </c>
      <c r="L678" s="15" t="s">
        <v>131</v>
      </c>
    </row>
    <row r="679" spans="1:12" s="53" customFormat="1" ht="20.100000000000001" hidden="1" customHeight="1" thickBot="1" x14ac:dyDescent="0.3">
      <c r="A679" s="327"/>
      <c r="B679" s="322"/>
      <c r="C679" s="17">
        <f>(1/367.6)*80683.02/2*1.2*P4</f>
        <v>163.11280127572874</v>
      </c>
      <c r="D679" s="18">
        <f>(1/367.6)*28238.7*1.2*P4</f>
        <v>114.17751743514113</v>
      </c>
      <c r="E679" s="18">
        <f>(1/367.6)*53788.68/2*1.2*P4</f>
        <v>108.74186751715249</v>
      </c>
      <c r="F679" s="19">
        <f>(1/367.6)*40342.02/2*1.2*P4</f>
        <v>81.557431679199325</v>
      </c>
      <c r="G679" s="19">
        <f>(1/367.6)*40342.02/2*1.2*P4</f>
        <v>81.557431679199325</v>
      </c>
      <c r="H679" s="19">
        <f>(1/367.6)*40342.02/2*1.2*P4</f>
        <v>81.557431679199325</v>
      </c>
      <c r="I679" s="19">
        <f>(1/367.6)*53116.5/2*1.2*P4</f>
        <v>107.38295503765532</v>
      </c>
      <c r="J679" s="19">
        <f>(1/367.6)*65890.98/2*1.2*P4</f>
        <v>133.20847839611127</v>
      </c>
      <c r="K679" s="18">
        <f>(1/367.6)*28238.7/2*1.2*P4</f>
        <v>57.088758717570563</v>
      </c>
      <c r="L679" s="20" t="s">
        <v>131</v>
      </c>
    </row>
    <row r="680" spans="1:12" s="53" customFormat="1" ht="20.100000000000001" customHeight="1" thickBot="1" x14ac:dyDescent="0.3">
      <c r="A680" s="327"/>
      <c r="B680" s="323"/>
      <c r="C680" s="17">
        <f>C679+C678</f>
        <v>179.91639213535876</v>
      </c>
      <c r="D680" s="17">
        <f t="shared" ref="D680:K680" si="381">D679+D678</f>
        <v>143.41664786992374</v>
      </c>
      <c r="E680" s="17">
        <f t="shared" si="381"/>
        <v>119.90617654870853</v>
      </c>
      <c r="F680" s="17">
        <f t="shared" si="381"/>
        <v>87.32865039519497</v>
      </c>
      <c r="G680" s="17">
        <f t="shared" si="381"/>
        <v>92.653732005641103</v>
      </c>
      <c r="H680" s="17">
        <f t="shared" si="381"/>
        <v>87.32865039519497</v>
      </c>
      <c r="I680" s="17">
        <f t="shared" si="381"/>
        <v>119.82310737715477</v>
      </c>
      <c r="J680" s="17">
        <f t="shared" si="381"/>
        <v>143.11598655715588</v>
      </c>
      <c r="K680" s="17">
        <f t="shared" si="381"/>
        <v>66.996266878615174</v>
      </c>
      <c r="L680" s="34" t="s">
        <v>131</v>
      </c>
    </row>
    <row r="681" spans="1:12" s="53" customFormat="1" ht="20.100000000000001" customHeight="1" thickBot="1" x14ac:dyDescent="0.3">
      <c r="A681" s="328"/>
      <c r="B681" s="267" t="s">
        <v>212</v>
      </c>
      <c r="C681" s="36">
        <f>SUM(C676:C679)</f>
        <v>8145.1746379962979</v>
      </c>
      <c r="D681" s="36">
        <f t="shared" ref="D681:K681" si="382">SUM(D676:D679)</f>
        <v>7116.6288594515599</v>
      </c>
      <c r="E681" s="36">
        <f t="shared" si="382"/>
        <v>1409.4827602106961</v>
      </c>
      <c r="F681" s="36">
        <f t="shared" si="382"/>
        <v>825.3468269643115</v>
      </c>
      <c r="G681" s="36">
        <f t="shared" si="382"/>
        <v>3346.5523424326161</v>
      </c>
      <c r="H681" s="36">
        <f t="shared" si="382"/>
        <v>644.08433046847654</v>
      </c>
      <c r="I681" s="36">
        <f t="shared" si="382"/>
        <v>6037.2694875624675</v>
      </c>
      <c r="J681" s="36">
        <f t="shared" si="382"/>
        <v>5675.8169839529301</v>
      </c>
      <c r="K681" s="36">
        <f t="shared" si="382"/>
        <v>1256.7238422685659</v>
      </c>
      <c r="L681" s="37" t="s">
        <v>131</v>
      </c>
    </row>
    <row r="682" spans="1:12" s="53" customFormat="1" ht="20.100000000000001" hidden="1" customHeight="1" thickBot="1" x14ac:dyDescent="0.3">
      <c r="A682" s="340" t="s">
        <v>1022</v>
      </c>
      <c r="B682" s="321" t="s">
        <v>79</v>
      </c>
      <c r="C682" s="9">
        <v>3799.3231398899634</v>
      </c>
      <c r="D682" s="9">
        <v>5766.6213008075738</v>
      </c>
      <c r="E682" s="9">
        <v>629.21561809265529</v>
      </c>
      <c r="F682" s="9">
        <v>360.45241170063053</v>
      </c>
      <c r="G682" s="9">
        <v>825.29886307796778</v>
      </c>
      <c r="H682" s="9">
        <v>276.97860689616869</v>
      </c>
      <c r="I682" s="9">
        <v>1866.8920571022902</v>
      </c>
      <c r="J682" s="9">
        <v>2478.3452693069921</v>
      </c>
      <c r="K682" s="9">
        <v>570.25032393390075</v>
      </c>
      <c r="L682" s="20" t="s">
        <v>131</v>
      </c>
    </row>
    <row r="683" spans="1:12" s="53" customFormat="1" ht="20.100000000000001" customHeight="1" x14ac:dyDescent="0.25">
      <c r="A683" s="327"/>
      <c r="B683" s="322"/>
      <c r="C683" s="10">
        <f>C682/13.19*19.53*1.039</f>
        <v>5844.9288383632284</v>
      </c>
      <c r="D683" s="10">
        <f t="shared" ref="D683:K683" si="383">D682/13.19*19.53*1.039</f>
        <v>8871.4462813463251</v>
      </c>
      <c r="E683" s="10">
        <f t="shared" si="383"/>
        <v>967.993607367869</v>
      </c>
      <c r="F683" s="10">
        <f t="shared" si="383"/>
        <v>554.52474518069255</v>
      </c>
      <c r="G683" s="10">
        <f t="shared" si="383"/>
        <v>1269.6506581465737</v>
      </c>
      <c r="H683" s="10">
        <f t="shared" si="383"/>
        <v>426.10754269877026</v>
      </c>
      <c r="I683" s="10">
        <f t="shared" si="383"/>
        <v>2872.0513683351655</v>
      </c>
      <c r="J683" s="10">
        <f t="shared" si="383"/>
        <v>3812.719056166688</v>
      </c>
      <c r="K683" s="10">
        <f t="shared" si="383"/>
        <v>877.28062097496718</v>
      </c>
      <c r="L683" s="26" t="s">
        <v>131</v>
      </c>
    </row>
    <row r="684" spans="1:12" s="53" customFormat="1" ht="20.100000000000001" customHeight="1" x14ac:dyDescent="0.25">
      <c r="A684" s="327"/>
      <c r="B684" s="322"/>
      <c r="C684" s="16">
        <f>C683*0.0214</f>
        <v>125.08147714097308</v>
      </c>
      <c r="D684" s="16">
        <f t="shared" ref="D684:K684" si="384">D683*0.0214</f>
        <v>189.84895042081135</v>
      </c>
      <c r="E684" s="16">
        <f t="shared" si="384"/>
        <v>20.715063197672396</v>
      </c>
      <c r="F684" s="16">
        <f t="shared" si="384"/>
        <v>11.866829546866819</v>
      </c>
      <c r="G684" s="16">
        <f t="shared" si="384"/>
        <v>27.170524084336677</v>
      </c>
      <c r="H684" s="16">
        <f t="shared" si="384"/>
        <v>9.1187014137536835</v>
      </c>
      <c r="I684" s="16">
        <f t="shared" si="384"/>
        <v>61.461899282372542</v>
      </c>
      <c r="J684" s="16">
        <f t="shared" si="384"/>
        <v>81.592187801967114</v>
      </c>
      <c r="K684" s="16">
        <f t="shared" si="384"/>
        <v>18.773805288864295</v>
      </c>
      <c r="L684" s="15" t="s">
        <v>131</v>
      </c>
    </row>
    <row r="685" spans="1:12" s="53" customFormat="1" ht="20.100000000000001" hidden="1" customHeight="1" x14ac:dyDescent="0.25">
      <c r="A685" s="327"/>
      <c r="B685" s="322"/>
      <c r="C685" s="35">
        <f>15471/1619.9</f>
        <v>9.5505895425643548</v>
      </c>
      <c r="D685" s="35">
        <f>12274/567</f>
        <v>21.647266313932981</v>
      </c>
      <c r="E685" s="35">
        <f>7535/1619.9</f>
        <v>4.6515216988703001</v>
      </c>
      <c r="F685" s="35">
        <f>13253/2/1619.9</f>
        <v>4.0906846101611212</v>
      </c>
      <c r="G685" s="35">
        <f>10349/1619.9</f>
        <v>6.3886659670350019</v>
      </c>
      <c r="H685" s="35">
        <f>F685</f>
        <v>4.0906846101611212</v>
      </c>
      <c r="I685" s="35">
        <f>21238/1619.9</f>
        <v>13.110685844805234</v>
      </c>
      <c r="J685" s="35">
        <f>5304/1619.9</f>
        <v>3.2742761898882646</v>
      </c>
      <c r="K685" s="35">
        <f>J685</f>
        <v>3.2742761898882646</v>
      </c>
      <c r="L685" s="26" t="s">
        <v>131</v>
      </c>
    </row>
    <row r="686" spans="1:12" s="53" customFormat="1" ht="20.100000000000001" hidden="1" customHeight="1" thickBot="1" x14ac:dyDescent="0.3">
      <c r="A686" s="327"/>
      <c r="B686" s="322"/>
      <c r="C686" s="18">
        <f>(1/1619.9)*138326.28*1.2*P4</f>
        <v>126.91936518906624</v>
      </c>
      <c r="D686" s="18">
        <f>(1/1619.9)*117577.44*1.2*P4</f>
        <v>107.88155399939568</v>
      </c>
      <c r="E686" s="18">
        <f>(1/1619.9)*92217.18*1.2*P4</f>
        <v>84.612598163746298</v>
      </c>
      <c r="F686" s="18">
        <f>(1/1619.9)*69163.14*1.2*P4</f>
        <v>63.45968259453312</v>
      </c>
      <c r="G686" s="19">
        <f>(1/1619.9)*69163.14*1.2*P4</f>
        <v>63.45968259453312</v>
      </c>
      <c r="H686" s="19">
        <f>(1/1619.9)*69163.14*1.2*P4</f>
        <v>63.45968259453312</v>
      </c>
      <c r="I686" s="19">
        <f>(1/1619.9)*91064.58*1.2*P4</f>
        <v>83.555045973974998</v>
      </c>
      <c r="J686" s="19">
        <f>(1/1619.9)*112966.02*1.2*P4</f>
        <v>103.65040935341686</v>
      </c>
      <c r="K686" s="18">
        <f>(1/1619.9)*48414.3*1.2*P4</f>
        <v>44.421871404862543</v>
      </c>
      <c r="L686" s="80" t="s">
        <v>131</v>
      </c>
    </row>
    <row r="687" spans="1:12" s="53" customFormat="1" ht="20.100000000000001" customHeight="1" thickBot="1" x14ac:dyDescent="0.3">
      <c r="A687" s="327"/>
      <c r="B687" s="323"/>
      <c r="C687" s="18">
        <f>C686+C685</f>
        <v>136.46995473163059</v>
      </c>
      <c r="D687" s="18">
        <f t="shared" ref="D687:K687" si="385">D686+D685</f>
        <v>129.52882031332865</v>
      </c>
      <c r="E687" s="18">
        <f t="shared" si="385"/>
        <v>89.264119862616596</v>
      </c>
      <c r="F687" s="18">
        <f t="shared" si="385"/>
        <v>67.55036720469424</v>
      </c>
      <c r="G687" s="18">
        <f t="shared" si="385"/>
        <v>69.848348561568116</v>
      </c>
      <c r="H687" s="18">
        <f t="shared" si="385"/>
        <v>67.55036720469424</v>
      </c>
      <c r="I687" s="18">
        <f t="shared" si="385"/>
        <v>96.66573181878023</v>
      </c>
      <c r="J687" s="18">
        <f t="shared" si="385"/>
        <v>106.92468554330513</v>
      </c>
      <c r="K687" s="18">
        <f t="shared" si="385"/>
        <v>47.696147594750805</v>
      </c>
      <c r="L687" s="164" t="s">
        <v>131</v>
      </c>
    </row>
    <row r="688" spans="1:12" s="53" customFormat="1" ht="20.100000000000001" customHeight="1" thickBot="1" x14ac:dyDescent="0.3">
      <c r="A688" s="328"/>
      <c r="B688" s="259" t="s">
        <v>212</v>
      </c>
      <c r="C688" s="36">
        <f>SUM(C683:C686)</f>
        <v>6106.480270235832</v>
      </c>
      <c r="D688" s="36">
        <f t="shared" ref="D688:K688" si="386">SUM(D683:D686)</f>
        <v>9190.8240520804666</v>
      </c>
      <c r="E688" s="36">
        <f t="shared" si="386"/>
        <v>1077.9727904281581</v>
      </c>
      <c r="F688" s="36">
        <f t="shared" si="386"/>
        <v>633.9419419322536</v>
      </c>
      <c r="G688" s="36">
        <f t="shared" si="386"/>
        <v>1366.6695307924786</v>
      </c>
      <c r="H688" s="36">
        <f t="shared" si="386"/>
        <v>502.77661131721823</v>
      </c>
      <c r="I688" s="36">
        <f t="shared" si="386"/>
        <v>3030.1789994363185</v>
      </c>
      <c r="J688" s="36">
        <f t="shared" si="386"/>
        <v>4001.23592951196</v>
      </c>
      <c r="K688" s="36">
        <f t="shared" si="386"/>
        <v>943.75057385858236</v>
      </c>
      <c r="L688" s="37" t="s">
        <v>131</v>
      </c>
    </row>
    <row r="689" spans="1:12" s="53" customFormat="1" ht="20.100000000000001" hidden="1" customHeight="1" thickBot="1" x14ac:dyDescent="0.3">
      <c r="A689" s="340" t="s">
        <v>1023</v>
      </c>
      <c r="B689" s="321" t="s">
        <v>80</v>
      </c>
      <c r="C689" s="9">
        <v>3856.0245390915579</v>
      </c>
      <c r="D689" s="9">
        <v>7744.1298948837211</v>
      </c>
      <c r="E689" s="9">
        <v>633.16336175195204</v>
      </c>
      <c r="F689" s="9">
        <v>362.71391583665758</v>
      </c>
      <c r="G689" s="9">
        <v>5840.1078570629898</v>
      </c>
      <c r="H689" s="9">
        <v>278.71639042806783</v>
      </c>
      <c r="I689" s="9">
        <v>1878.6050710026088</v>
      </c>
      <c r="J689" s="9">
        <v>2562.8753543535022</v>
      </c>
      <c r="K689" s="9">
        <v>573.8281151326413</v>
      </c>
      <c r="L689" s="21" t="s">
        <v>131</v>
      </c>
    </row>
    <row r="690" spans="1:12" s="53" customFormat="1" ht="20.100000000000001" customHeight="1" x14ac:dyDescent="0.25">
      <c r="A690" s="327"/>
      <c r="B690" s="322"/>
      <c r="C690" s="10">
        <f>C689/13.19*19.53*1.039</f>
        <v>5932.1590188891587</v>
      </c>
      <c r="D690" s="10">
        <f t="shared" ref="D690:K690" si="387">D689/13.19*19.53*1.039</f>
        <v>11913.671589394629</v>
      </c>
      <c r="E690" s="10">
        <f t="shared" si="387"/>
        <v>974.06686829122305</v>
      </c>
      <c r="F690" s="10">
        <f t="shared" si="387"/>
        <v>558.00387297689383</v>
      </c>
      <c r="G690" s="10">
        <f t="shared" si="387"/>
        <v>8984.4989689104896</v>
      </c>
      <c r="H690" s="10">
        <f t="shared" si="387"/>
        <v>428.78097180875744</v>
      </c>
      <c r="I690" s="10">
        <f t="shared" si="387"/>
        <v>2890.0708234352928</v>
      </c>
      <c r="J690" s="10">
        <f t="shared" si="387"/>
        <v>3942.7612541072272</v>
      </c>
      <c r="K690" s="10">
        <f t="shared" si="387"/>
        <v>882.7847421526584</v>
      </c>
      <c r="L690" s="21" t="s">
        <v>131</v>
      </c>
    </row>
    <row r="691" spans="1:12" s="53" customFormat="1" ht="20.100000000000001" customHeight="1" x14ac:dyDescent="0.25">
      <c r="A691" s="327"/>
      <c r="B691" s="322"/>
      <c r="C691" s="16">
        <f>C690*0.0214</f>
        <v>126.94820300422799</v>
      </c>
      <c r="D691" s="16">
        <f t="shared" ref="D691:K691" si="388">D690*0.0214</f>
        <v>254.95257201304506</v>
      </c>
      <c r="E691" s="16">
        <f t="shared" si="388"/>
        <v>20.845030981432171</v>
      </c>
      <c r="F691" s="16">
        <f t="shared" si="388"/>
        <v>11.941282881705527</v>
      </c>
      <c r="G691" s="16">
        <f t="shared" si="388"/>
        <v>192.26827793468448</v>
      </c>
      <c r="H691" s="16">
        <f t="shared" si="388"/>
        <v>9.1759127967074097</v>
      </c>
      <c r="I691" s="16">
        <f t="shared" si="388"/>
        <v>61.847515621515264</v>
      </c>
      <c r="J691" s="16">
        <f t="shared" si="388"/>
        <v>84.37509083789466</v>
      </c>
      <c r="K691" s="16">
        <f t="shared" si="388"/>
        <v>18.891593482066888</v>
      </c>
      <c r="L691" s="15" t="s">
        <v>131</v>
      </c>
    </row>
    <row r="692" spans="1:12" s="53" customFormat="1" ht="20.100000000000001" hidden="1" customHeight="1" x14ac:dyDescent="0.25">
      <c r="A692" s="327"/>
      <c r="B692" s="322"/>
      <c r="C692" s="16">
        <f>15393/1609.8</f>
        <v>9.5620573984345878</v>
      </c>
      <c r="D692" s="16">
        <f>12216/537</f>
        <v>22.748603351955307</v>
      </c>
      <c r="E692" s="16">
        <f>7505/1609.8</f>
        <v>4.6620698223381787</v>
      </c>
      <c r="F692" s="16">
        <f>13189/2/1609.8</f>
        <v>4.0964716113802959</v>
      </c>
      <c r="G692" s="16">
        <f>10303/1609.8</f>
        <v>6.4001739346502671</v>
      </c>
      <c r="H692" s="16">
        <f>F692</f>
        <v>4.0964716113802959</v>
      </c>
      <c r="I692" s="16">
        <f>10303/1609.8</f>
        <v>6.4001739346502671</v>
      </c>
      <c r="J692" s="16">
        <f>5290/1609.8</f>
        <v>3.2861224996894025</v>
      </c>
      <c r="K692" s="16">
        <f>J692</f>
        <v>3.2861224996894025</v>
      </c>
      <c r="L692" s="15" t="s">
        <v>131</v>
      </c>
    </row>
    <row r="693" spans="1:12" s="53" customFormat="1" ht="20.100000000000001" hidden="1" customHeight="1" thickBot="1" x14ac:dyDescent="0.3">
      <c r="A693" s="327"/>
      <c r="B693" s="322"/>
      <c r="C693" s="18">
        <f>(1/1609.8)*138162.06*1.2*P4</f>
        <v>127.5640431842203</v>
      </c>
      <c r="D693" s="18">
        <f>(1/537)*48357.18*1.2*P4</f>
        <v>133.84374501064391</v>
      </c>
      <c r="E693" s="18">
        <f>(1/1609.8)*92108.04*1.2*P4</f>
        <v>85.042695456146873</v>
      </c>
      <c r="F693" s="18">
        <f>(1/1609.8)*69081.54*1.2*P4</f>
        <v>63.782492471467513</v>
      </c>
      <c r="G693" s="19">
        <f>(1/1609.8)*69081.54*1.2*P4</f>
        <v>63.782492471467513</v>
      </c>
      <c r="H693" s="19">
        <f>(1/1609.8)*69081.54*1.2*P4</f>
        <v>63.782492471467513</v>
      </c>
      <c r="I693" s="19">
        <f>(1/1609.8)*90957.48*1.2*P4</f>
        <v>83.98039162594894</v>
      </c>
      <c r="J693" s="19">
        <f>(1/1609.8)*112832.4*1.2*P4</f>
        <v>104.17734902171564</v>
      </c>
      <c r="K693" s="18">
        <f>(1/1609.8)*48357.18*1.2*P4</f>
        <v>44.64783890589873</v>
      </c>
      <c r="L693" s="15" t="s">
        <v>131</v>
      </c>
    </row>
    <row r="694" spans="1:12" s="53" customFormat="1" ht="20.100000000000001" customHeight="1" thickBot="1" x14ac:dyDescent="0.3">
      <c r="A694" s="327"/>
      <c r="B694" s="323"/>
      <c r="C694" s="18">
        <f>C693+C692</f>
        <v>137.12610058265489</v>
      </c>
      <c r="D694" s="18">
        <f t="shared" ref="D694:K694" si="389">D693+D692</f>
        <v>156.59234836259921</v>
      </c>
      <c r="E694" s="18">
        <f t="shared" si="389"/>
        <v>89.704765278485056</v>
      </c>
      <c r="F694" s="18">
        <f t="shared" si="389"/>
        <v>67.878964082847816</v>
      </c>
      <c r="G694" s="18">
        <f t="shared" si="389"/>
        <v>70.182666406117775</v>
      </c>
      <c r="H694" s="18">
        <f t="shared" si="389"/>
        <v>67.878964082847816</v>
      </c>
      <c r="I694" s="18">
        <f t="shared" si="389"/>
        <v>90.380565560599209</v>
      </c>
      <c r="J694" s="18">
        <f t="shared" si="389"/>
        <v>107.46347152140504</v>
      </c>
      <c r="K694" s="18">
        <f t="shared" si="389"/>
        <v>47.933961405588136</v>
      </c>
      <c r="L694" s="21" t="s">
        <v>131</v>
      </c>
    </row>
    <row r="695" spans="1:12" s="53" customFormat="1" ht="18" customHeight="1" thickBot="1" x14ac:dyDescent="0.3">
      <c r="A695" s="328"/>
      <c r="B695" s="265" t="s">
        <v>212</v>
      </c>
      <c r="C695" s="18">
        <f>SUM(C690:C693)</f>
        <v>6196.2333224760414</v>
      </c>
      <c r="D695" s="18">
        <f t="shared" ref="D695:K695" si="390">SUM(D690:D693)</f>
        <v>12325.216509770273</v>
      </c>
      <c r="E695" s="18">
        <f t="shared" si="390"/>
        <v>1084.6166645511403</v>
      </c>
      <c r="F695" s="18">
        <f t="shared" si="390"/>
        <v>637.82411994144718</v>
      </c>
      <c r="G695" s="18">
        <f t="shared" si="390"/>
        <v>9246.9499132512919</v>
      </c>
      <c r="H695" s="18">
        <f t="shared" si="390"/>
        <v>505.83584868831264</v>
      </c>
      <c r="I695" s="18">
        <f t="shared" si="390"/>
        <v>3042.2989046174075</v>
      </c>
      <c r="J695" s="18">
        <f t="shared" si="390"/>
        <v>4134.599816466527</v>
      </c>
      <c r="K695" s="18">
        <f t="shared" si="390"/>
        <v>949.61029704031353</v>
      </c>
      <c r="L695" s="37" t="s">
        <v>131</v>
      </c>
    </row>
    <row r="696" spans="1:12" s="53" customFormat="1" ht="20.100000000000001" hidden="1" customHeight="1" thickBot="1" x14ac:dyDescent="0.3">
      <c r="A696" s="340" t="s">
        <v>1024</v>
      </c>
      <c r="B696" s="321" t="s">
        <v>138</v>
      </c>
      <c r="C696" s="9">
        <v>3672.8264693346719</v>
      </c>
      <c r="D696" s="9">
        <v>5684.0257833333344</v>
      </c>
      <c r="E696" s="9">
        <v>533.57712293510997</v>
      </c>
      <c r="F696" s="9">
        <v>330.20541443825869</v>
      </c>
      <c r="G696" s="9">
        <v>807.7643723190655</v>
      </c>
      <c r="H696" s="9">
        <v>460.56718458519663</v>
      </c>
      <c r="I696" s="9">
        <v>1220.0968232636669</v>
      </c>
      <c r="J696" s="9">
        <v>1807.0100708679383</v>
      </c>
      <c r="K696" s="9">
        <v>406.16260897143383</v>
      </c>
      <c r="L696" s="21" t="s">
        <v>131</v>
      </c>
    </row>
    <row r="697" spans="1:12" s="53" customFormat="1" ht="20.100000000000001" customHeight="1" x14ac:dyDescent="0.25">
      <c r="A697" s="327"/>
      <c r="B697" s="322"/>
      <c r="C697" s="7">
        <f>C696/13.19*19.53*1.039</f>
        <v>5650.324691660674</v>
      </c>
      <c r="D697" s="7">
        <f t="shared" ref="D697:K697" si="391">D696/13.19*19.53*1.039</f>
        <v>8744.380247679419</v>
      </c>
      <c r="E697" s="7">
        <f t="shared" si="391"/>
        <v>820.86208477245509</v>
      </c>
      <c r="F697" s="7">
        <f t="shared" si="391"/>
        <v>507.99236557955879</v>
      </c>
      <c r="G697" s="7">
        <f t="shared" si="391"/>
        <v>1242.6753662513731</v>
      </c>
      <c r="H697" s="7">
        <f t="shared" si="391"/>
        <v>708.54263248156906</v>
      </c>
      <c r="I697" s="7">
        <f t="shared" si="391"/>
        <v>1877.0130481967135</v>
      </c>
      <c r="J697" s="7">
        <f t="shared" si="391"/>
        <v>2779.9281307603351</v>
      </c>
      <c r="K697" s="7">
        <f t="shared" si="391"/>
        <v>624.84591566242409</v>
      </c>
      <c r="L697" s="21" t="s">
        <v>131</v>
      </c>
    </row>
    <row r="698" spans="1:12" s="53" customFormat="1" ht="20.100000000000001" customHeight="1" x14ac:dyDescent="0.25">
      <c r="A698" s="327"/>
      <c r="B698" s="322"/>
      <c r="C698" s="35">
        <f>C697*0.0214</f>
        <v>120.91694840153842</v>
      </c>
      <c r="D698" s="35">
        <f t="shared" ref="D698:K698" si="392">D697*0.0214</f>
        <v>187.12973730033954</v>
      </c>
      <c r="E698" s="35">
        <f t="shared" si="392"/>
        <v>17.56644861413054</v>
      </c>
      <c r="F698" s="35">
        <f t="shared" si="392"/>
        <v>10.871036623402558</v>
      </c>
      <c r="G698" s="35">
        <f t="shared" si="392"/>
        <v>26.593252837779385</v>
      </c>
      <c r="H698" s="35">
        <f t="shared" si="392"/>
        <v>15.162812335105578</v>
      </c>
      <c r="I698" s="35">
        <f t="shared" si="392"/>
        <v>40.168079231409664</v>
      </c>
      <c r="J698" s="35">
        <f t="shared" si="392"/>
        <v>59.490461998271165</v>
      </c>
      <c r="K698" s="35">
        <f t="shared" si="392"/>
        <v>13.371702595175876</v>
      </c>
      <c r="L698" s="15" t="s">
        <v>131</v>
      </c>
    </row>
    <row r="699" spans="1:12" s="53" customFormat="1" ht="20.100000000000001" hidden="1" customHeight="1" x14ac:dyDescent="0.25">
      <c r="A699" s="327"/>
      <c r="B699" s="322"/>
      <c r="C699" s="16">
        <f>11878/1276.7</f>
        <v>9.3036735333281104</v>
      </c>
      <c r="D699" s="16">
        <f>9609/335</f>
        <v>28.683582089552239</v>
      </c>
      <c r="E699" s="16">
        <f>6611/1276.7</f>
        <v>5.1781937808412311</v>
      </c>
      <c r="F699" s="16">
        <f>11099/2/1276.7</f>
        <v>4.3467533484765406</v>
      </c>
      <c r="G699" s="16">
        <f>8811/1276.7</f>
        <v>6.9013863867784124</v>
      </c>
      <c r="H699" s="16">
        <f>F699</f>
        <v>4.3467533484765406</v>
      </c>
      <c r="I699" s="16">
        <f>17393/1276.7</f>
        <v>13.623404088666092</v>
      </c>
      <c r="J699" s="16">
        <f>4662/1276.7</f>
        <v>3.651601785854155</v>
      </c>
      <c r="K699" s="16">
        <f>J699</f>
        <v>3.651601785854155</v>
      </c>
      <c r="L699" s="15" t="s">
        <v>131</v>
      </c>
    </row>
    <row r="700" spans="1:12" s="53" customFormat="1" ht="20.100000000000001" hidden="1" customHeight="1" x14ac:dyDescent="0.25">
      <c r="A700" s="327"/>
      <c r="B700" s="322"/>
      <c r="C700" s="10">
        <f>(1/2191.4)*201552*1.2*P4</f>
        <v>136.70262487907272</v>
      </c>
      <c r="D700" s="10">
        <f>(1/2191.4)*171319.2*1.2*P4</f>
        <v>116.19723114721181</v>
      </c>
      <c r="E700" s="10">
        <f>(1/2191.4)*134367.66*1.2*P4</f>
        <v>91.134852647747394</v>
      </c>
      <c r="F700" s="22">
        <f>(1/2191.4)*100776*1.2*P4</f>
        <v>68.351312439536358</v>
      </c>
      <c r="G700" s="22">
        <f>(1/2191.4)*100776*1.2*P4</f>
        <v>68.351312439536358</v>
      </c>
      <c r="H700" s="22">
        <f>(1/2191.4)*100776*1.2*P4</f>
        <v>68.351312439536358</v>
      </c>
      <c r="I700" s="22">
        <f>(1/2191.4)*132688.74*1.2*P4</f>
        <v>89.996125317023953</v>
      </c>
      <c r="J700" s="22">
        <f>(1/2191.4)*164601.48*1.2*P4</f>
        <v>111.64093819451155</v>
      </c>
      <c r="K700" s="10">
        <f>(1/2191.4)*70543.2*1.2*P4</f>
        <v>47.845918707675445</v>
      </c>
      <c r="L700" s="21" t="s">
        <v>131</v>
      </c>
    </row>
    <row r="701" spans="1:12" s="53" customFormat="1" ht="20.100000000000001" customHeight="1" thickBot="1" x14ac:dyDescent="0.3">
      <c r="A701" s="327"/>
      <c r="B701" s="323"/>
      <c r="C701" s="16">
        <f>C700+C699</f>
        <v>146.00629841240084</v>
      </c>
      <c r="D701" s="16">
        <f t="shared" ref="D701:K701" si="393">D700+D699</f>
        <v>144.88081323676406</v>
      </c>
      <c r="E701" s="16">
        <f t="shared" si="393"/>
        <v>96.313046428588621</v>
      </c>
      <c r="F701" s="16">
        <f t="shared" si="393"/>
        <v>72.698065788012897</v>
      </c>
      <c r="G701" s="16">
        <f t="shared" si="393"/>
        <v>75.25269882631477</v>
      </c>
      <c r="H701" s="16">
        <f t="shared" si="393"/>
        <v>72.698065788012897</v>
      </c>
      <c r="I701" s="16">
        <f t="shared" si="393"/>
        <v>103.61952940569005</v>
      </c>
      <c r="J701" s="16">
        <f t="shared" si="393"/>
        <v>115.2925399803657</v>
      </c>
      <c r="K701" s="16">
        <f t="shared" si="393"/>
        <v>51.497520493529599</v>
      </c>
      <c r="L701" s="15" t="s">
        <v>131</v>
      </c>
    </row>
    <row r="702" spans="1:12" s="53" customFormat="1" ht="20.100000000000001" customHeight="1" thickBot="1" x14ac:dyDescent="0.3">
      <c r="A702" s="328"/>
      <c r="B702" s="265" t="s">
        <v>212</v>
      </c>
      <c r="C702" s="18">
        <f>SUM(C697:C700)</f>
        <v>5917.247938474613</v>
      </c>
      <c r="D702" s="18">
        <f t="shared" ref="D702:K702" si="394">SUM(D697:D700)</f>
        <v>9076.3907982165219</v>
      </c>
      <c r="E702" s="18">
        <f t="shared" si="394"/>
        <v>934.74157981517419</v>
      </c>
      <c r="F702" s="18">
        <f t="shared" si="394"/>
        <v>591.56146799097428</v>
      </c>
      <c r="G702" s="18">
        <f t="shared" si="394"/>
        <v>1344.5213179154671</v>
      </c>
      <c r="H702" s="18">
        <f t="shared" si="394"/>
        <v>796.40351060468765</v>
      </c>
      <c r="I702" s="18">
        <f t="shared" si="394"/>
        <v>2020.8006568338133</v>
      </c>
      <c r="J702" s="18">
        <f t="shared" si="394"/>
        <v>2954.7111327389721</v>
      </c>
      <c r="K702" s="18">
        <f t="shared" si="394"/>
        <v>689.71513875112953</v>
      </c>
      <c r="L702" s="34" t="s">
        <v>131</v>
      </c>
    </row>
    <row r="703" spans="1:12" s="73" customFormat="1" ht="20.100000000000001" hidden="1" customHeight="1" thickBot="1" x14ac:dyDescent="0.3">
      <c r="A703" s="340" t="s">
        <v>1025</v>
      </c>
      <c r="B703" s="321" t="s">
        <v>42</v>
      </c>
      <c r="C703" s="9">
        <v>3285.280282380083</v>
      </c>
      <c r="D703" s="9">
        <v>7336.6797109947647</v>
      </c>
      <c r="E703" s="9">
        <v>498.09759392538945</v>
      </c>
      <c r="F703" s="9">
        <v>347.6371666791884</v>
      </c>
      <c r="G703" s="9">
        <v>824.56241186440695</v>
      </c>
      <c r="H703" s="9">
        <v>406.44228842956085</v>
      </c>
      <c r="I703" s="9">
        <v>1289.6855097457628</v>
      </c>
      <c r="J703" s="9">
        <v>1587.1043168713286</v>
      </c>
      <c r="K703" s="9">
        <v>359.94541090636397</v>
      </c>
      <c r="L703" s="20" t="s">
        <v>131</v>
      </c>
    </row>
    <row r="704" spans="1:12" s="73" customFormat="1" ht="20.100000000000001" customHeight="1" x14ac:dyDescent="0.25">
      <c r="A704" s="327"/>
      <c r="B704" s="322"/>
      <c r="C704" s="10">
        <f>C703/13.19*19.53*1.039</f>
        <v>5054.1185252133027</v>
      </c>
      <c r="D704" s="10">
        <f t="shared" ref="D704:K704" si="395">D703/13.19*19.53*1.039</f>
        <v>11286.844851493643</v>
      </c>
      <c r="E704" s="10">
        <f t="shared" si="395"/>
        <v>766.27990930462522</v>
      </c>
      <c r="F704" s="10">
        <f t="shared" si="395"/>
        <v>534.80960318340317</v>
      </c>
      <c r="G704" s="10">
        <f t="shared" si="395"/>
        <v>1268.5176918845057</v>
      </c>
      <c r="H704" s="10">
        <f t="shared" si="395"/>
        <v>625.27617823028561</v>
      </c>
      <c r="I704" s="10">
        <f t="shared" si="395"/>
        <v>1984.0692014816379</v>
      </c>
      <c r="J704" s="10">
        <f t="shared" si="395"/>
        <v>2441.6222178565904</v>
      </c>
      <c r="K704" s="10">
        <f t="shared" si="395"/>
        <v>553.7447684705337</v>
      </c>
      <c r="L704" s="26" t="s">
        <v>131</v>
      </c>
    </row>
    <row r="705" spans="1:12" s="73" customFormat="1" ht="20.100000000000001" customHeight="1" x14ac:dyDescent="0.25">
      <c r="A705" s="327"/>
      <c r="B705" s="322"/>
      <c r="C705" s="16">
        <f>C704*0.0214</f>
        <v>108.15813643956467</v>
      </c>
      <c r="D705" s="16">
        <f t="shared" ref="D705:K705" si="396">D704*0.0214</f>
        <v>241.53847982196393</v>
      </c>
      <c r="E705" s="16">
        <f t="shared" si="396"/>
        <v>16.398390059118977</v>
      </c>
      <c r="F705" s="16">
        <f t="shared" si="396"/>
        <v>11.444925508124827</v>
      </c>
      <c r="G705" s="16">
        <f t="shared" si="396"/>
        <v>27.146278606328419</v>
      </c>
      <c r="H705" s="16">
        <f t="shared" si="396"/>
        <v>13.380910214128111</v>
      </c>
      <c r="I705" s="16">
        <f t="shared" si="396"/>
        <v>42.459080911707048</v>
      </c>
      <c r="J705" s="16">
        <f t="shared" si="396"/>
        <v>52.250715462131033</v>
      </c>
      <c r="K705" s="16">
        <f t="shared" si="396"/>
        <v>11.850138045269421</v>
      </c>
      <c r="L705" s="15" t="s">
        <v>131</v>
      </c>
    </row>
    <row r="706" spans="1:12" s="73" customFormat="1" ht="20.100000000000001" hidden="1" customHeight="1" x14ac:dyDescent="0.25">
      <c r="A706" s="327"/>
      <c r="B706" s="322"/>
      <c r="C706" s="16">
        <f>14462/1652</f>
        <v>8.7542372881355934</v>
      </c>
      <c r="D706" s="16">
        <f>11526/413</f>
        <v>27.907990314769975</v>
      </c>
      <c r="E706" s="16">
        <f>7646/1652</f>
        <v>4.628329297820823</v>
      </c>
      <c r="F706" s="16">
        <f>13454/2/1652</f>
        <v>4.0720338983050848</v>
      </c>
      <c r="G706" s="16">
        <f>10493/1652</f>
        <v>6.351694915254237</v>
      </c>
      <c r="H706" s="16">
        <f>F706</f>
        <v>4.0720338983050848</v>
      </c>
      <c r="I706" s="16">
        <f>21597/1652</f>
        <v>13.073244552058112</v>
      </c>
      <c r="J706" s="16">
        <f>5124/1652</f>
        <v>3.1016949152542375</v>
      </c>
      <c r="K706" s="16">
        <f>J706</f>
        <v>3.1016949152542375</v>
      </c>
      <c r="L706" s="15" t="s">
        <v>131</v>
      </c>
    </row>
    <row r="707" spans="1:12" s="73" customFormat="1" ht="20.100000000000001" hidden="1" customHeight="1" thickBot="1" x14ac:dyDescent="0.3">
      <c r="A707" s="327"/>
      <c r="B707" s="322"/>
      <c r="C707" s="18">
        <f>(1/1652)*192818.76*1.2*P4</f>
        <v>173.48049059434177</v>
      </c>
      <c r="D707" s="18">
        <f>(1/813)*67486.26*1.2*P4</f>
        <v>123.3775705395999</v>
      </c>
      <c r="E707" s="18">
        <f>(1/1652)*128545.5*1.2*P4</f>
        <v>115.65335449566712</v>
      </c>
      <c r="F707" s="18">
        <f>(1/1652)*96409.38*1.2*P4</f>
        <v>86.740245297170887</v>
      </c>
      <c r="G707" s="19">
        <f>(1/1652)*96409.38*1.2*P4</f>
        <v>86.740245297170887</v>
      </c>
      <c r="H707" s="19">
        <f>(1/1652)*96409.38*1.2*P4</f>
        <v>86.740245297170887</v>
      </c>
      <c r="I707" s="19">
        <f>(1/1652)*126939*1.2*P4</f>
        <v>114.20797434624696</v>
      </c>
      <c r="J707" s="19">
        <f>(1/1652)*157468.62*1.2*P4</f>
        <v>141.67570339532304</v>
      </c>
      <c r="K707" s="18">
        <f>(1/1652)*67486.26*1.2*P4</f>
        <v>60.717896397514963</v>
      </c>
      <c r="L707" s="20" t="s">
        <v>131</v>
      </c>
    </row>
    <row r="708" spans="1:12" s="73" customFormat="1" ht="20.100000000000001" customHeight="1" thickBot="1" x14ac:dyDescent="0.3">
      <c r="A708" s="327"/>
      <c r="B708" s="323"/>
      <c r="C708" s="18">
        <f>C707+C706</f>
        <v>182.23472788247736</v>
      </c>
      <c r="D708" s="18">
        <f t="shared" ref="D708:K708" si="397">D707+D706</f>
        <v>151.28556085436986</v>
      </c>
      <c r="E708" s="18">
        <f t="shared" si="397"/>
        <v>120.28168379348794</v>
      </c>
      <c r="F708" s="18">
        <f t="shared" si="397"/>
        <v>90.812279195475966</v>
      </c>
      <c r="G708" s="18">
        <f t="shared" si="397"/>
        <v>93.091940212425129</v>
      </c>
      <c r="H708" s="18">
        <f t="shared" si="397"/>
        <v>90.812279195475966</v>
      </c>
      <c r="I708" s="18">
        <f t="shared" si="397"/>
        <v>127.28121889830507</v>
      </c>
      <c r="J708" s="18">
        <f t="shared" si="397"/>
        <v>144.77739831057727</v>
      </c>
      <c r="K708" s="18">
        <f t="shared" si="397"/>
        <v>63.819591312769198</v>
      </c>
      <c r="L708" s="34" t="s">
        <v>131</v>
      </c>
    </row>
    <row r="709" spans="1:12" s="73" customFormat="1" ht="20.100000000000001" customHeight="1" thickBot="1" x14ac:dyDescent="0.3">
      <c r="A709" s="328"/>
      <c r="B709" s="265" t="s">
        <v>212</v>
      </c>
      <c r="C709" s="18">
        <f>SUM(C704:C707)</f>
        <v>5344.5113895353443</v>
      </c>
      <c r="D709" s="18">
        <f t="shared" ref="D709:K709" si="398">SUM(D704:D707)</f>
        <v>11679.668892169977</v>
      </c>
      <c r="E709" s="18">
        <f t="shared" si="398"/>
        <v>902.95998315723216</v>
      </c>
      <c r="F709" s="18">
        <f t="shared" si="398"/>
        <v>637.06680788700396</v>
      </c>
      <c r="G709" s="18">
        <f t="shared" si="398"/>
        <v>1388.7559107032594</v>
      </c>
      <c r="H709" s="18">
        <f t="shared" si="398"/>
        <v>729.4693676398897</v>
      </c>
      <c r="I709" s="18">
        <f t="shared" si="398"/>
        <v>2153.8095012916501</v>
      </c>
      <c r="J709" s="18">
        <f t="shared" si="398"/>
        <v>2638.6503316292988</v>
      </c>
      <c r="K709" s="18">
        <f t="shared" si="398"/>
        <v>629.41449782857239</v>
      </c>
      <c r="L709" s="34" t="s">
        <v>131</v>
      </c>
    </row>
    <row r="710" spans="1:12" s="73" customFormat="1" ht="20.100000000000001" hidden="1" customHeight="1" thickBot="1" x14ac:dyDescent="0.3">
      <c r="A710" s="340" t="s">
        <v>1026</v>
      </c>
      <c r="B710" s="321" t="s">
        <v>233</v>
      </c>
      <c r="C710" s="9">
        <v>3672.8264693346719</v>
      </c>
      <c r="D710" s="9">
        <v>5684.0257833333344</v>
      </c>
      <c r="E710" s="9">
        <v>533.57712293510997</v>
      </c>
      <c r="F710" s="9">
        <v>330.20541443825869</v>
      </c>
      <c r="G710" s="9">
        <v>807.7643723190655</v>
      </c>
      <c r="H710" s="9">
        <v>460.56718458519663</v>
      </c>
      <c r="I710" s="9">
        <v>1220.0968232636669</v>
      </c>
      <c r="J710" s="9">
        <v>1807.0100708679383</v>
      </c>
      <c r="K710" s="9">
        <v>406.16260897143383</v>
      </c>
      <c r="L710" s="21" t="s">
        <v>131</v>
      </c>
    </row>
    <row r="711" spans="1:12" s="73" customFormat="1" ht="20.100000000000001" customHeight="1" x14ac:dyDescent="0.25">
      <c r="A711" s="327"/>
      <c r="B711" s="322"/>
      <c r="C711" s="7">
        <f>C710/13.19*19.53*1.039</f>
        <v>5650.324691660674</v>
      </c>
      <c r="D711" s="7">
        <f t="shared" ref="D711:K711" si="399">D710/13.19*19.53*1.039</f>
        <v>8744.380247679419</v>
      </c>
      <c r="E711" s="7">
        <f t="shared" si="399"/>
        <v>820.86208477245509</v>
      </c>
      <c r="F711" s="7">
        <f t="shared" si="399"/>
        <v>507.99236557955879</v>
      </c>
      <c r="G711" s="7">
        <f t="shared" si="399"/>
        <v>1242.6753662513731</v>
      </c>
      <c r="H711" s="7">
        <f t="shared" si="399"/>
        <v>708.54263248156906</v>
      </c>
      <c r="I711" s="7">
        <f t="shared" si="399"/>
        <v>1877.0130481967135</v>
      </c>
      <c r="J711" s="7">
        <f t="shared" si="399"/>
        <v>2779.9281307603351</v>
      </c>
      <c r="K711" s="7">
        <f t="shared" si="399"/>
        <v>624.84591566242409</v>
      </c>
      <c r="L711" s="21" t="s">
        <v>131</v>
      </c>
    </row>
    <row r="712" spans="1:12" s="73" customFormat="1" ht="20.100000000000001" customHeight="1" x14ac:dyDescent="0.25">
      <c r="A712" s="327"/>
      <c r="B712" s="322"/>
      <c r="C712" s="35">
        <f>C711*0.0214</f>
        <v>120.91694840153842</v>
      </c>
      <c r="D712" s="35">
        <f t="shared" ref="D712:K712" si="400">D711*0.0214</f>
        <v>187.12973730033954</v>
      </c>
      <c r="E712" s="35">
        <f t="shared" si="400"/>
        <v>17.56644861413054</v>
      </c>
      <c r="F712" s="35">
        <f t="shared" si="400"/>
        <v>10.871036623402558</v>
      </c>
      <c r="G712" s="35">
        <f t="shared" si="400"/>
        <v>26.593252837779385</v>
      </c>
      <c r="H712" s="35">
        <f t="shared" si="400"/>
        <v>15.162812335105578</v>
      </c>
      <c r="I712" s="35">
        <f t="shared" si="400"/>
        <v>40.168079231409664</v>
      </c>
      <c r="J712" s="35">
        <f t="shared" si="400"/>
        <v>59.490461998271165</v>
      </c>
      <c r="K712" s="35">
        <f t="shared" si="400"/>
        <v>13.371702595175876</v>
      </c>
      <c r="L712" s="15" t="s">
        <v>131</v>
      </c>
    </row>
    <row r="713" spans="1:12" s="73" customFormat="1" ht="20.100000000000001" hidden="1" customHeight="1" x14ac:dyDescent="0.25">
      <c r="A713" s="327"/>
      <c r="B713" s="322"/>
      <c r="C713" s="16">
        <f>11878/1276.7</f>
        <v>9.3036735333281104</v>
      </c>
      <c r="D713" s="16">
        <f>9609/335</f>
        <v>28.683582089552239</v>
      </c>
      <c r="E713" s="16">
        <f>6611/1276.7</f>
        <v>5.1781937808412311</v>
      </c>
      <c r="F713" s="16">
        <f>11099/2/1276.7</f>
        <v>4.3467533484765406</v>
      </c>
      <c r="G713" s="16">
        <f>8811/1276.7</f>
        <v>6.9013863867784124</v>
      </c>
      <c r="H713" s="16">
        <f>F713</f>
        <v>4.3467533484765406</v>
      </c>
      <c r="I713" s="16">
        <f>17393/1276.7</f>
        <v>13.623404088666092</v>
      </c>
      <c r="J713" s="16">
        <f>4662/1276.7</f>
        <v>3.651601785854155</v>
      </c>
      <c r="K713" s="16">
        <f>J713</f>
        <v>3.651601785854155</v>
      </c>
      <c r="L713" s="15" t="s">
        <v>131</v>
      </c>
    </row>
    <row r="714" spans="1:12" s="73" customFormat="1" ht="20.100000000000001" hidden="1" customHeight="1" x14ac:dyDescent="0.25">
      <c r="A714" s="327"/>
      <c r="B714" s="322"/>
      <c r="C714" s="10">
        <v>136.70262487907272</v>
      </c>
      <c r="D714" s="10">
        <v>116.19723114721181</v>
      </c>
      <c r="E714" s="10">
        <v>91.134852647747394</v>
      </c>
      <c r="F714" s="22">
        <v>68.351312439536358</v>
      </c>
      <c r="G714" s="22">
        <v>68.351312439536358</v>
      </c>
      <c r="H714" s="22">
        <v>68.351312439536358</v>
      </c>
      <c r="I714" s="22">
        <v>89.996125317023953</v>
      </c>
      <c r="J714" s="22">
        <v>111.64093819451155</v>
      </c>
      <c r="K714" s="10">
        <v>47.845918707675445</v>
      </c>
      <c r="L714" s="21" t="s">
        <v>131</v>
      </c>
    </row>
    <row r="715" spans="1:12" s="73" customFormat="1" ht="20.100000000000001" customHeight="1" thickBot="1" x14ac:dyDescent="0.3">
      <c r="A715" s="327"/>
      <c r="B715" s="323"/>
      <c r="C715" s="16">
        <f>C714+C713</f>
        <v>146.00629841240084</v>
      </c>
      <c r="D715" s="16">
        <f t="shared" ref="D715:K715" si="401">D714+D713</f>
        <v>144.88081323676406</v>
      </c>
      <c r="E715" s="16">
        <f t="shared" si="401"/>
        <v>96.313046428588621</v>
      </c>
      <c r="F715" s="16">
        <f t="shared" si="401"/>
        <v>72.698065788012897</v>
      </c>
      <c r="G715" s="16">
        <f t="shared" si="401"/>
        <v>75.25269882631477</v>
      </c>
      <c r="H715" s="16">
        <f t="shared" si="401"/>
        <v>72.698065788012897</v>
      </c>
      <c r="I715" s="16">
        <f t="shared" si="401"/>
        <v>103.61952940569005</v>
      </c>
      <c r="J715" s="16">
        <f t="shared" si="401"/>
        <v>115.2925399803657</v>
      </c>
      <c r="K715" s="16">
        <f t="shared" si="401"/>
        <v>51.497520493529599</v>
      </c>
      <c r="L715" s="15" t="s">
        <v>131</v>
      </c>
    </row>
    <row r="716" spans="1:12" s="73" customFormat="1" ht="20.100000000000001" customHeight="1" thickBot="1" x14ac:dyDescent="0.3">
      <c r="A716" s="328"/>
      <c r="B716" s="265" t="s">
        <v>212</v>
      </c>
      <c r="C716" s="18">
        <f>SUM(C711:C714)</f>
        <v>5917.247938474613</v>
      </c>
      <c r="D716" s="18">
        <f t="shared" ref="D716:K716" si="402">SUM(D711:D714)</f>
        <v>9076.3907982165219</v>
      </c>
      <c r="E716" s="18">
        <f t="shared" si="402"/>
        <v>934.74157981517419</v>
      </c>
      <c r="F716" s="18">
        <f t="shared" si="402"/>
        <v>591.56146799097428</v>
      </c>
      <c r="G716" s="18">
        <f t="shared" si="402"/>
        <v>1344.5213179154671</v>
      </c>
      <c r="H716" s="18">
        <f t="shared" si="402"/>
        <v>796.40351060468765</v>
      </c>
      <c r="I716" s="18">
        <f t="shared" si="402"/>
        <v>2020.8006568338133</v>
      </c>
      <c r="J716" s="18">
        <f t="shared" si="402"/>
        <v>2954.7111327389721</v>
      </c>
      <c r="K716" s="18">
        <f t="shared" si="402"/>
        <v>689.71513875112953</v>
      </c>
      <c r="L716" s="34" t="s">
        <v>131</v>
      </c>
    </row>
    <row r="717" spans="1:12" s="73" customFormat="1" ht="20.100000000000001" hidden="1" customHeight="1" thickBot="1" x14ac:dyDescent="0.3">
      <c r="A717" s="340" t="s">
        <v>1027</v>
      </c>
      <c r="B717" s="321" t="s">
        <v>43</v>
      </c>
      <c r="C717" s="9">
        <v>5096.4902739665786</v>
      </c>
      <c r="D717" s="9">
        <v>6402.2295480000002</v>
      </c>
      <c r="E717" s="9">
        <v>823.30127836411611</v>
      </c>
      <c r="F717" s="9">
        <v>470.08947889182059</v>
      </c>
      <c r="G717" s="9">
        <v>1114.4529525065961</v>
      </c>
      <c r="H717" s="9">
        <v>492.44615831134558</v>
      </c>
      <c r="I717" s="9">
        <v>2728.4849925241865</v>
      </c>
      <c r="J717" s="9">
        <v>2817.5394481090589</v>
      </c>
      <c r="K717" s="9" t="s">
        <v>131</v>
      </c>
      <c r="L717" s="20" t="s">
        <v>131</v>
      </c>
    </row>
    <row r="718" spans="1:12" s="73" customFormat="1" ht="20.100000000000001" customHeight="1" x14ac:dyDescent="0.25">
      <c r="A718" s="327"/>
      <c r="B718" s="322"/>
      <c r="C718" s="10">
        <f t="shared" ref="C718:J718" si="403">C717/14.06*19.53*1.039</f>
        <v>7355.3555332531578</v>
      </c>
      <c r="D718" s="10">
        <f t="shared" si="403"/>
        <v>9239.8242711426155</v>
      </c>
      <c r="E718" s="10">
        <f t="shared" si="403"/>
        <v>1188.2046835805679</v>
      </c>
      <c r="F718" s="10">
        <f t="shared" si="403"/>
        <v>678.44243073576013</v>
      </c>
      <c r="G718" s="10">
        <f t="shared" si="403"/>
        <v>1608.4005364715163</v>
      </c>
      <c r="H718" s="10">
        <f t="shared" si="403"/>
        <v>710.70803251931579</v>
      </c>
      <c r="I718" s="10">
        <f t="shared" si="403"/>
        <v>3937.8034899184395</v>
      </c>
      <c r="J718" s="10">
        <f t="shared" si="403"/>
        <v>4066.3286410391993</v>
      </c>
      <c r="K718" s="10" t="s">
        <v>131</v>
      </c>
      <c r="L718" s="26" t="s">
        <v>131</v>
      </c>
    </row>
    <row r="719" spans="1:12" s="73" customFormat="1" ht="20.100000000000001" customHeight="1" x14ac:dyDescent="0.25">
      <c r="A719" s="327"/>
      <c r="B719" s="322"/>
      <c r="C719" s="16">
        <f>C718*0.0214</f>
        <v>157.40460841161757</v>
      </c>
      <c r="D719" s="16">
        <f t="shared" ref="D719:J719" si="404">D718*0.0214</f>
        <v>197.73223940245197</v>
      </c>
      <c r="E719" s="16">
        <f t="shared" si="404"/>
        <v>25.427580228624151</v>
      </c>
      <c r="F719" s="16">
        <f t="shared" si="404"/>
        <v>14.518668017745266</v>
      </c>
      <c r="G719" s="16">
        <f t="shared" si="404"/>
        <v>34.419771480490446</v>
      </c>
      <c r="H719" s="16">
        <f t="shared" si="404"/>
        <v>15.209151895913358</v>
      </c>
      <c r="I719" s="16">
        <f t="shared" si="404"/>
        <v>84.268994684254594</v>
      </c>
      <c r="J719" s="16">
        <f t="shared" si="404"/>
        <v>87.019432918238863</v>
      </c>
      <c r="K719" s="16" t="s">
        <v>131</v>
      </c>
      <c r="L719" s="15" t="s">
        <v>131</v>
      </c>
    </row>
    <row r="720" spans="1:12" s="73" customFormat="1" ht="20.100000000000001" hidden="1" customHeight="1" x14ac:dyDescent="0.25">
      <c r="A720" s="327"/>
      <c r="B720" s="322"/>
      <c r="C720" s="16">
        <f>8365/628.2</f>
        <v>13.315822986310092</v>
      </c>
      <c r="D720" s="16">
        <f>7003/330</f>
        <v>21.221212121212123</v>
      </c>
      <c r="E720" s="16">
        <f>4822/628.2</f>
        <v>7.675899395097102</v>
      </c>
      <c r="F720" s="16">
        <f>5905/2/628.2</f>
        <v>4.6999363260108247</v>
      </c>
      <c r="G720" s="16">
        <f>5624/628.2</f>
        <v>8.9525628780643096</v>
      </c>
      <c r="H720" s="16">
        <f>F720</f>
        <v>4.6999363260108247</v>
      </c>
      <c r="I720" s="16">
        <f>7313/628.2</f>
        <v>11.641197070996498</v>
      </c>
      <c r="J720" s="16">
        <f>4033/628.2</f>
        <v>6.419929958611907</v>
      </c>
      <c r="K720" s="16" t="s">
        <v>131</v>
      </c>
      <c r="L720" s="15" t="s">
        <v>131</v>
      </c>
    </row>
    <row r="721" spans="1:12" s="73" customFormat="1" ht="20.100000000000001" hidden="1" customHeight="1" thickBot="1" x14ac:dyDescent="0.3">
      <c r="A721" s="327"/>
      <c r="B721" s="322"/>
      <c r="C721" s="18">
        <f>(1/682.2)*84902.76*1.2*P4</f>
        <v>184.97860177253156</v>
      </c>
      <c r="D721" s="18">
        <f>(1/682.2)*72167.04*1.2*P4</f>
        <v>157.23114482099706</v>
      </c>
      <c r="E721" s="18">
        <f>(1/682.2)*56601.84*1.2*P4</f>
        <v>123.31906784835435</v>
      </c>
      <c r="F721" s="18">
        <f>(1/682.2)*42451.38*1.2*P4</f>
        <v>92.489300886265781</v>
      </c>
      <c r="G721" s="19">
        <f>(1/682.2)*42451.38*1.2*P4</f>
        <v>92.489300886265781</v>
      </c>
      <c r="H721" s="19">
        <f>(1/682.2)*42451.38*1.2*P4</f>
        <v>92.489300886265781</v>
      </c>
      <c r="I721" s="19">
        <f>(1/682.2)*55893.96*1.2*P4</f>
        <v>121.77680170031938</v>
      </c>
      <c r="J721" s="19">
        <f>(1/682.2)*69337.56*1.2*P4</f>
        <v>151.06652479988887</v>
      </c>
      <c r="K721" s="18" t="s">
        <v>131</v>
      </c>
      <c r="L721" s="20" t="s">
        <v>131</v>
      </c>
    </row>
    <row r="722" spans="1:12" s="73" customFormat="1" ht="20.100000000000001" customHeight="1" thickBot="1" x14ac:dyDescent="0.3">
      <c r="A722" s="327"/>
      <c r="B722" s="323"/>
      <c r="C722" s="18">
        <f>C721+C720</f>
        <v>198.29442475884164</v>
      </c>
      <c r="D722" s="18">
        <f t="shared" ref="D722:J722" si="405">D721+D720</f>
        <v>178.45235694220918</v>
      </c>
      <c r="E722" s="18">
        <f t="shared" si="405"/>
        <v>130.99496724345144</v>
      </c>
      <c r="F722" s="18">
        <f t="shared" si="405"/>
        <v>97.189237212276609</v>
      </c>
      <c r="G722" s="18">
        <f t="shared" si="405"/>
        <v>101.44186376433009</v>
      </c>
      <c r="H722" s="18">
        <f t="shared" si="405"/>
        <v>97.189237212276609</v>
      </c>
      <c r="I722" s="18">
        <f t="shared" si="405"/>
        <v>133.41799877131587</v>
      </c>
      <c r="J722" s="18">
        <f t="shared" si="405"/>
        <v>157.48645475850077</v>
      </c>
      <c r="K722" s="18" t="s">
        <v>131</v>
      </c>
      <c r="L722" s="34" t="s">
        <v>131</v>
      </c>
    </row>
    <row r="723" spans="1:12" s="73" customFormat="1" ht="20.100000000000001" customHeight="1" thickBot="1" x14ac:dyDescent="0.3">
      <c r="A723" s="328"/>
      <c r="B723" s="259" t="s">
        <v>212</v>
      </c>
      <c r="C723" s="36">
        <f>SUM(C718:C721)</f>
        <v>7711.0545664236179</v>
      </c>
      <c r="D723" s="36">
        <f t="shared" ref="D723:J723" si="406">SUM(D718:D721)</f>
        <v>9616.0088674872768</v>
      </c>
      <c r="E723" s="36">
        <f t="shared" si="406"/>
        <v>1344.6272310526433</v>
      </c>
      <c r="F723" s="36">
        <f t="shared" si="406"/>
        <v>790.15033596578212</v>
      </c>
      <c r="G723" s="36">
        <f t="shared" si="406"/>
        <v>1744.2621717163368</v>
      </c>
      <c r="H723" s="36">
        <f t="shared" si="406"/>
        <v>823.10642162750582</v>
      </c>
      <c r="I723" s="36">
        <f t="shared" si="406"/>
        <v>4155.4904833740102</v>
      </c>
      <c r="J723" s="36">
        <f t="shared" si="406"/>
        <v>4310.8345287159382</v>
      </c>
      <c r="K723" s="36" t="s">
        <v>131</v>
      </c>
      <c r="L723" s="37" t="s">
        <v>131</v>
      </c>
    </row>
    <row r="724" spans="1:12" s="73" customFormat="1" ht="20.100000000000001" hidden="1" customHeight="1" thickBot="1" x14ac:dyDescent="0.3">
      <c r="A724" s="340" t="s">
        <v>1028</v>
      </c>
      <c r="B724" s="321" t="s">
        <v>81</v>
      </c>
      <c r="C724" s="9">
        <v>5085.70365042297</v>
      </c>
      <c r="D724" s="9">
        <v>4437.7622675159237</v>
      </c>
      <c r="E724" s="9">
        <v>823.37623421535113</v>
      </c>
      <c r="F724" s="9">
        <v>471.21406724087603</v>
      </c>
      <c r="G724" s="9">
        <v>2077.2573840065511</v>
      </c>
      <c r="H724" s="9">
        <v>355.480551558233</v>
      </c>
      <c r="I724" s="9">
        <v>3778.2050158296947</v>
      </c>
      <c r="J724" s="9">
        <v>3532.5505828735609</v>
      </c>
      <c r="K724" s="9">
        <v>759.62406822323305</v>
      </c>
      <c r="L724" s="21" t="s">
        <v>131</v>
      </c>
    </row>
    <row r="725" spans="1:12" s="73" customFormat="1" ht="20.100000000000001" customHeight="1" x14ac:dyDescent="0.25">
      <c r="A725" s="327"/>
      <c r="B725" s="322"/>
      <c r="C725" s="10">
        <f>C724/14.08*19.53*1.039</f>
        <v>7329.3622295581154</v>
      </c>
      <c r="D725" s="10">
        <f t="shared" ref="D725:K725" si="407">D724/14.08*19.53*1.039</f>
        <v>6395.5687124207989</v>
      </c>
      <c r="E725" s="10">
        <f t="shared" si="407"/>
        <v>1186.6249169418049</v>
      </c>
      <c r="F725" s="10">
        <f t="shared" si="407"/>
        <v>679.09945680466399</v>
      </c>
      <c r="G725" s="10">
        <f t="shared" si="407"/>
        <v>2993.6804929917766</v>
      </c>
      <c r="H725" s="10">
        <f t="shared" si="407"/>
        <v>512.30781559926493</v>
      </c>
      <c r="I725" s="10">
        <f t="shared" si="407"/>
        <v>5445.0347566449527</v>
      </c>
      <c r="J725" s="10">
        <f t="shared" si="407"/>
        <v>5091.005020310934</v>
      </c>
      <c r="K725" s="10">
        <f t="shared" si="407"/>
        <v>1094.7472241792138</v>
      </c>
      <c r="L725" s="21" t="s">
        <v>131</v>
      </c>
    </row>
    <row r="726" spans="1:12" s="73" customFormat="1" ht="20.100000000000001" customHeight="1" x14ac:dyDescent="0.25">
      <c r="A726" s="327"/>
      <c r="B726" s="322"/>
      <c r="C726" s="16">
        <f>C725*0.0214</f>
        <v>156.84835171254366</v>
      </c>
      <c r="D726" s="16">
        <f t="shared" ref="D726:K726" si="408">D725*0.0214</f>
        <v>136.86517044580509</v>
      </c>
      <c r="E726" s="16">
        <f t="shared" si="408"/>
        <v>25.393773222554625</v>
      </c>
      <c r="F726" s="16">
        <f t="shared" si="408"/>
        <v>14.532728375619808</v>
      </c>
      <c r="G726" s="16">
        <f t="shared" si="408"/>
        <v>64.064762550024014</v>
      </c>
      <c r="H726" s="16">
        <f t="shared" si="408"/>
        <v>10.963387253824269</v>
      </c>
      <c r="I726" s="16">
        <f t="shared" si="408"/>
        <v>116.52374379220198</v>
      </c>
      <c r="J726" s="16">
        <f t="shared" si="408"/>
        <v>108.94750743465399</v>
      </c>
      <c r="K726" s="16">
        <f t="shared" si="408"/>
        <v>23.427590597435174</v>
      </c>
      <c r="L726" s="15" t="s">
        <v>131</v>
      </c>
    </row>
    <row r="727" spans="1:12" s="73" customFormat="1" ht="20.100000000000001" hidden="1" customHeight="1" x14ac:dyDescent="0.25">
      <c r="A727" s="327"/>
      <c r="B727" s="322"/>
      <c r="C727" s="16">
        <f>6167/366.4</f>
        <v>16.831331877729259</v>
      </c>
      <c r="D727" s="16">
        <f>5372/183</f>
        <v>29.355191256830601</v>
      </c>
      <c r="E727" s="16">
        <f>4100/366.4</f>
        <v>11.189956331877729</v>
      </c>
      <c r="F727" s="16">
        <f>4239/2/366.4</f>
        <v>5.7846615720524017</v>
      </c>
      <c r="G727" s="16">
        <f>4075/366.4</f>
        <v>11.121724890829695</v>
      </c>
      <c r="H727" s="16">
        <f>F727</f>
        <v>5.7846615720524017</v>
      </c>
      <c r="I727" s="16">
        <f>4568/366.4</f>
        <v>12.467248908296945</v>
      </c>
      <c r="J727" s="16">
        <f>3640/366.4</f>
        <v>9.9344978165938862</v>
      </c>
      <c r="K727" s="16">
        <f>J727</f>
        <v>9.9344978165938862</v>
      </c>
      <c r="L727" s="15" t="s">
        <v>131</v>
      </c>
    </row>
    <row r="728" spans="1:12" s="73" customFormat="1" ht="20.100000000000001" hidden="1" customHeight="1" thickBot="1" x14ac:dyDescent="0.3">
      <c r="A728" s="327"/>
      <c r="B728" s="322"/>
      <c r="C728" s="18">
        <f>(1/366.4)*80663.6/2*1.2*P4</f>
        <v>163.60762448804874</v>
      </c>
      <c r="D728" s="18">
        <f>(1/366.4)*28232.58*1.2*P4</f>
        <v>114.526635234946</v>
      </c>
      <c r="E728" s="18">
        <f>(1/366.4)*53776.44/2*1.2*P4</f>
        <v>109.07318297006435</v>
      </c>
      <c r="F728" s="18">
        <f>(1/366.4)*40331.82/2*1.2*P4</f>
        <v>81.803852809440357</v>
      </c>
      <c r="G728" s="19">
        <f>(1/366.4)*40331.82/2*1.2*P4</f>
        <v>81.803852809440357</v>
      </c>
      <c r="H728" s="19">
        <f>(1/366.4)*40331.82/2*1.2*P4</f>
        <v>81.803852809440357</v>
      </c>
      <c r="I728" s="19">
        <f>(1/366.4)*53104.26/2*1.2*P4</f>
        <v>107.70981990384394</v>
      </c>
      <c r="J728" s="19">
        <f>(1/366.4)*65875.68/2*1.2*P4</f>
        <v>133.61371816203172</v>
      </c>
      <c r="K728" s="18">
        <f>(1/366.4)*28232.58/2*1.2*P4</f>
        <v>57.263317617473</v>
      </c>
      <c r="L728" s="20" t="s">
        <v>131</v>
      </c>
    </row>
    <row r="729" spans="1:12" s="73" customFormat="1" ht="20.100000000000001" customHeight="1" thickBot="1" x14ac:dyDescent="0.3">
      <c r="A729" s="327"/>
      <c r="B729" s="323"/>
      <c r="C729" s="18">
        <f>C728+C727</f>
        <v>180.43895636577801</v>
      </c>
      <c r="D729" s="18">
        <f t="shared" ref="D729:K729" si="409">D728+D727</f>
        <v>143.88182649177659</v>
      </c>
      <c r="E729" s="18">
        <f t="shared" si="409"/>
        <v>120.26313930194208</v>
      </c>
      <c r="F729" s="18">
        <f t="shared" si="409"/>
        <v>87.588514381492757</v>
      </c>
      <c r="G729" s="18">
        <f t="shared" si="409"/>
        <v>92.925577700270054</v>
      </c>
      <c r="H729" s="18">
        <f t="shared" si="409"/>
        <v>87.588514381492757</v>
      </c>
      <c r="I729" s="18">
        <f t="shared" si="409"/>
        <v>120.17706881214087</v>
      </c>
      <c r="J729" s="18">
        <f t="shared" si="409"/>
        <v>143.54821597862559</v>
      </c>
      <c r="K729" s="18">
        <f t="shared" si="409"/>
        <v>67.197815434066882</v>
      </c>
      <c r="L729" s="34" t="s">
        <v>131</v>
      </c>
    </row>
    <row r="730" spans="1:12" s="73" customFormat="1" ht="20.100000000000001" customHeight="1" thickBot="1" x14ac:dyDescent="0.3">
      <c r="A730" s="328"/>
      <c r="B730" s="265" t="s">
        <v>212</v>
      </c>
      <c r="C730" s="18">
        <f>SUM(C725:C728)</f>
        <v>7666.6495376364364</v>
      </c>
      <c r="D730" s="18">
        <f t="shared" ref="D730:K730" si="410">SUM(D725:D728)</f>
        <v>6676.3157093583814</v>
      </c>
      <c r="E730" s="18">
        <f t="shared" si="410"/>
        <v>1332.2818294663018</v>
      </c>
      <c r="F730" s="18">
        <f t="shared" si="410"/>
        <v>781.22069956177666</v>
      </c>
      <c r="G730" s="18">
        <f t="shared" si="410"/>
        <v>3150.6708332420708</v>
      </c>
      <c r="H730" s="18">
        <f t="shared" si="410"/>
        <v>610.85971723458204</v>
      </c>
      <c r="I730" s="18">
        <f t="shared" si="410"/>
        <v>5681.7355692492956</v>
      </c>
      <c r="J730" s="18">
        <f t="shared" si="410"/>
        <v>5343.500743724213</v>
      </c>
      <c r="K730" s="18">
        <f t="shared" si="410"/>
        <v>1185.3726302107159</v>
      </c>
      <c r="L730" s="34" t="s">
        <v>131</v>
      </c>
    </row>
    <row r="731" spans="1:12" s="73" customFormat="1" ht="20.100000000000001" hidden="1" customHeight="1" thickBot="1" x14ac:dyDescent="0.3">
      <c r="A731" s="340" t="s">
        <v>1029</v>
      </c>
      <c r="B731" s="321" t="s">
        <v>44</v>
      </c>
      <c r="C731" s="78">
        <v>4541.5379111615812</v>
      </c>
      <c r="D731" s="78">
        <v>5812.9926322628562</v>
      </c>
      <c r="E731" s="78">
        <v>655.92345939104393</v>
      </c>
      <c r="F731" s="78">
        <v>397.85592727637822</v>
      </c>
      <c r="G731" s="78">
        <v>1024.0628998126504</v>
      </c>
      <c r="H731" s="78">
        <v>323.79380177639644</v>
      </c>
      <c r="I731" s="78">
        <v>2066.4380731554998</v>
      </c>
      <c r="J731" s="78">
        <v>2766.8591261751176</v>
      </c>
      <c r="K731" s="78">
        <v>675.66299458645722</v>
      </c>
      <c r="L731" s="20" t="s">
        <v>131</v>
      </c>
    </row>
    <row r="732" spans="1:12" s="73" customFormat="1" ht="20.100000000000001" customHeight="1" x14ac:dyDescent="0.25">
      <c r="A732" s="327"/>
      <c r="B732" s="322"/>
      <c r="C732" s="10">
        <f>C731/14.06*19.53*1.039</f>
        <v>6554.4373105106779</v>
      </c>
      <c r="D732" s="10">
        <f t="shared" ref="D732:K732" si="411">D731/14.06*19.53*1.039</f>
        <v>8389.4259037204283</v>
      </c>
      <c r="E732" s="10">
        <f t="shared" si="411"/>
        <v>946.64170577677555</v>
      </c>
      <c r="F732" s="10">
        <f t="shared" si="411"/>
        <v>574.1935408133902</v>
      </c>
      <c r="G732" s="10">
        <f t="shared" si="411"/>
        <v>1477.9478251949758</v>
      </c>
      <c r="H732" s="10">
        <f t="shared" si="411"/>
        <v>467.30561690555118</v>
      </c>
      <c r="I732" s="10">
        <f t="shared" si="411"/>
        <v>2982.3242856264046</v>
      </c>
      <c r="J732" s="10">
        <f t="shared" si="411"/>
        <v>3993.185798352336</v>
      </c>
      <c r="K732" s="10">
        <f t="shared" si="411"/>
        <v>975.13019326886024</v>
      </c>
      <c r="L732" s="26" t="s">
        <v>131</v>
      </c>
    </row>
    <row r="733" spans="1:12" s="73" customFormat="1" ht="20.100000000000001" customHeight="1" x14ac:dyDescent="0.25">
      <c r="A733" s="327"/>
      <c r="B733" s="322"/>
      <c r="C733" s="16">
        <f>C732*0.0214</f>
        <v>140.26495844492851</v>
      </c>
      <c r="D733" s="16">
        <f t="shared" ref="D733:K733" si="412">D732*0.0214</f>
        <v>179.53371433961715</v>
      </c>
      <c r="E733" s="16">
        <f t="shared" si="412"/>
        <v>20.258132503622996</v>
      </c>
      <c r="F733" s="16">
        <f t="shared" si="412"/>
        <v>12.28774177340655</v>
      </c>
      <c r="G733" s="16">
        <f t="shared" si="412"/>
        <v>31.62808345917248</v>
      </c>
      <c r="H733" s="16">
        <f t="shared" si="412"/>
        <v>10.000340201778794</v>
      </c>
      <c r="I733" s="16">
        <f t="shared" si="412"/>
        <v>63.821739712405055</v>
      </c>
      <c r="J733" s="16">
        <f t="shared" si="412"/>
        <v>85.454176084739984</v>
      </c>
      <c r="K733" s="16">
        <f t="shared" si="412"/>
        <v>20.867786135953608</v>
      </c>
      <c r="L733" s="15" t="s">
        <v>131</v>
      </c>
    </row>
    <row r="734" spans="1:12" s="73" customFormat="1" ht="20.100000000000001" hidden="1" customHeight="1" x14ac:dyDescent="0.25">
      <c r="A734" s="327"/>
      <c r="B734" s="322"/>
      <c r="C734" s="16">
        <f>11657/1120.9</f>
        <v>10.399678829511998</v>
      </c>
      <c r="D734" s="16">
        <f>9445/393</f>
        <v>24.033078880407125</v>
      </c>
      <c r="E734" s="16">
        <f>6181/1120.9</f>
        <v>5.5143188509233649</v>
      </c>
      <c r="F734" s="16">
        <f>10122/2/1120.9</f>
        <v>4.5151217771433663</v>
      </c>
      <c r="G734" s="16">
        <f>8113/1120.9</f>
        <v>7.2379338031938616</v>
      </c>
      <c r="H734" s="16">
        <f>F734</f>
        <v>4.5151217771433663</v>
      </c>
      <c r="I734" s="16">
        <f>10625/1120.9</f>
        <v>9.478990097243285</v>
      </c>
      <c r="J734" s="16">
        <f>4622/1120.9</f>
        <v>4.1234722098313847</v>
      </c>
      <c r="K734" s="16">
        <f>J734</f>
        <v>4.1234722098313847</v>
      </c>
      <c r="L734" s="15" t="s">
        <v>131</v>
      </c>
    </row>
    <row r="735" spans="1:12" s="73" customFormat="1" ht="20.100000000000001" hidden="1" customHeight="1" thickBot="1" x14ac:dyDescent="0.3">
      <c r="A735" s="327"/>
      <c r="B735" s="322"/>
      <c r="C735" s="18">
        <f>(1/1120.9)*130245.84*1.2*P4</f>
        <v>172.70638380421741</v>
      </c>
      <c r="D735" s="18">
        <f>(1/1120.9)*110709.78*1.2*P4</f>
        <v>146.80150825209063</v>
      </c>
      <c r="E735" s="18">
        <f>(1/1120.9)*86830.56*1.2*P4</f>
        <v>115.13758920281163</v>
      </c>
      <c r="F735" s="18">
        <f>(1/1120.9)*65122.92*1.2*P4</f>
        <v>86.353191902108705</v>
      </c>
      <c r="G735" s="19">
        <f>(1/1120.9)*65122.92*1.2*P4</f>
        <v>86.353191902108705</v>
      </c>
      <c r="H735" s="19">
        <f>(1/1120.9)*65122.92*1.2*P4</f>
        <v>86.353191902108705</v>
      </c>
      <c r="I735" s="19">
        <f>(1/1120.9)*85745.28*1.2*P4</f>
        <v>113.69850459008971</v>
      </c>
      <c r="J735" s="19">
        <f>(1/1120.9)*106367.64*1.2*P4</f>
        <v>141.04381727807069</v>
      </c>
      <c r="K735" s="18">
        <f>(1/1120.9)*45585.84*1.2*P4</f>
        <v>60.446963826849654</v>
      </c>
      <c r="L735" s="20" t="s">
        <v>131</v>
      </c>
    </row>
    <row r="736" spans="1:12" s="73" customFormat="1" ht="20.100000000000001" customHeight="1" thickBot="1" x14ac:dyDescent="0.3">
      <c r="A736" s="327"/>
      <c r="B736" s="323"/>
      <c r="C736" s="18">
        <f>C735+C734</f>
        <v>183.10606263372941</v>
      </c>
      <c r="D736" s="18">
        <f t="shared" ref="D736:K736" si="413">D735+D734</f>
        <v>170.83458713249775</v>
      </c>
      <c r="E736" s="18">
        <f t="shared" si="413"/>
        <v>120.65190805373499</v>
      </c>
      <c r="F736" s="18">
        <f t="shared" si="413"/>
        <v>90.868313679252068</v>
      </c>
      <c r="G736" s="18">
        <f t="shared" si="413"/>
        <v>93.591125705302574</v>
      </c>
      <c r="H736" s="18">
        <f t="shared" si="413"/>
        <v>90.868313679252068</v>
      </c>
      <c r="I736" s="18">
        <f t="shared" si="413"/>
        <v>123.177494687333</v>
      </c>
      <c r="J736" s="18">
        <f t="shared" si="413"/>
        <v>145.16728948790208</v>
      </c>
      <c r="K736" s="18">
        <f t="shared" si="413"/>
        <v>64.570436036681045</v>
      </c>
      <c r="L736" s="34" t="s">
        <v>131</v>
      </c>
    </row>
    <row r="737" spans="1:12" s="73" customFormat="1" ht="20.100000000000001" customHeight="1" thickBot="1" x14ac:dyDescent="0.3">
      <c r="A737" s="328"/>
      <c r="B737" s="265" t="s">
        <v>212</v>
      </c>
      <c r="C737" s="18">
        <f>SUM(C732:C735)</f>
        <v>6877.8083315893355</v>
      </c>
      <c r="D737" s="18">
        <f t="shared" ref="D737:K737" si="414">SUM(D732:D735)</f>
        <v>8739.7942051925438</v>
      </c>
      <c r="E737" s="18">
        <f t="shared" si="414"/>
        <v>1087.5517463341334</v>
      </c>
      <c r="F737" s="18">
        <f t="shared" si="414"/>
        <v>677.34959626604882</v>
      </c>
      <c r="G737" s="18">
        <f t="shared" si="414"/>
        <v>1603.1670343594508</v>
      </c>
      <c r="H737" s="18">
        <f t="shared" si="414"/>
        <v>568.17427078658204</v>
      </c>
      <c r="I737" s="18">
        <f t="shared" si="414"/>
        <v>3169.3235200261424</v>
      </c>
      <c r="J737" s="18">
        <f t="shared" si="414"/>
        <v>4223.8072639249785</v>
      </c>
      <c r="K737" s="18">
        <f t="shared" si="414"/>
        <v>1060.5684154414948</v>
      </c>
      <c r="L737" s="34" t="s">
        <v>131</v>
      </c>
    </row>
    <row r="738" spans="1:12" s="73" customFormat="1" ht="20.100000000000001" hidden="1" customHeight="1" thickBot="1" x14ac:dyDescent="0.3">
      <c r="A738" s="340" t="s">
        <v>1030</v>
      </c>
      <c r="B738" s="321" t="s">
        <v>45</v>
      </c>
      <c r="C738" s="9">
        <v>3738.9641627692986</v>
      </c>
      <c r="D738" s="9">
        <v>7744.1297483720937</v>
      </c>
      <c r="E738" s="9">
        <v>613.94192250830747</v>
      </c>
      <c r="F738" s="9">
        <v>351.70272359586272</v>
      </c>
      <c r="G738" s="9">
        <v>805.26540675822184</v>
      </c>
      <c r="H738" s="9">
        <v>218.20155819244877</v>
      </c>
      <c r="I738" s="9">
        <v>1821.5747761113116</v>
      </c>
      <c r="J738" s="9">
        <v>2485.072127116171</v>
      </c>
      <c r="K738" s="9">
        <v>553.44212385973981</v>
      </c>
      <c r="L738" s="20" t="s">
        <v>131</v>
      </c>
    </row>
    <row r="739" spans="1:12" s="73" customFormat="1" ht="20.100000000000001" customHeight="1" x14ac:dyDescent="0.25">
      <c r="A739" s="327"/>
      <c r="B739" s="322"/>
      <c r="C739" s="10">
        <f>C738/14.06*19.53*1.039</f>
        <v>5396.1470080185554</v>
      </c>
      <c r="D739" s="10">
        <f t="shared" ref="D739:K739" si="415">D738/14.06*19.53*1.039</f>
        <v>11176.481172912487</v>
      </c>
      <c r="E739" s="10">
        <f t="shared" si="415"/>
        <v>886.05312167170314</v>
      </c>
      <c r="F739" s="10">
        <f t="shared" si="415"/>
        <v>507.58432470188194</v>
      </c>
      <c r="G739" s="10">
        <f t="shared" si="415"/>
        <v>1162.1749570664017</v>
      </c>
      <c r="H739" s="10">
        <f t="shared" si="415"/>
        <v>314.91280315270035</v>
      </c>
      <c r="I739" s="10">
        <f t="shared" si="415"/>
        <v>2628.9327337962036</v>
      </c>
      <c r="J739" s="10">
        <f t="shared" si="415"/>
        <v>3586.5052297040825</v>
      </c>
      <c r="K739" s="10">
        <f t="shared" si="415"/>
        <v>798.73861603563068</v>
      </c>
      <c r="L739" s="26" t="s">
        <v>131</v>
      </c>
    </row>
    <row r="740" spans="1:12" s="73" customFormat="1" ht="20.100000000000001" customHeight="1" x14ac:dyDescent="0.25">
      <c r="A740" s="327"/>
      <c r="B740" s="322"/>
      <c r="C740" s="16">
        <f>C739*0.0214</f>
        <v>115.47754597159708</v>
      </c>
      <c r="D740" s="16">
        <f t="shared" ref="D740:K740" si="416">D739*0.0214</f>
        <v>239.1766971003272</v>
      </c>
      <c r="E740" s="16">
        <f t="shared" si="416"/>
        <v>18.961536803774447</v>
      </c>
      <c r="F740" s="16">
        <f t="shared" si="416"/>
        <v>10.862304548620273</v>
      </c>
      <c r="G740" s="16">
        <f t="shared" si="416"/>
        <v>24.870544081220995</v>
      </c>
      <c r="H740" s="16">
        <f t="shared" si="416"/>
        <v>6.7391339874677874</v>
      </c>
      <c r="I740" s="16">
        <f t="shared" si="416"/>
        <v>56.259160503238753</v>
      </c>
      <c r="J740" s="16">
        <f t="shared" si="416"/>
        <v>76.751211915667355</v>
      </c>
      <c r="K740" s="16">
        <f t="shared" si="416"/>
        <v>17.093006383162496</v>
      </c>
      <c r="L740" s="15" t="s">
        <v>131</v>
      </c>
    </row>
    <row r="741" spans="1:12" s="73" customFormat="1" ht="20.100000000000001" hidden="1" customHeight="1" x14ac:dyDescent="0.25">
      <c r="A741" s="327"/>
      <c r="B741" s="322"/>
      <c r="C741" s="35">
        <f>15778/1660.2</f>
        <v>9.5036742561137206</v>
      </c>
      <c r="D741" s="35">
        <f>12502/553</f>
        <v>22.60759493670886</v>
      </c>
      <c r="E741" s="35">
        <f>7668/1660.2</f>
        <v>4.6187206360679438</v>
      </c>
      <c r="F741" s="35">
        <f>13505/2/1660.2</f>
        <v>4.0672810504758461</v>
      </c>
      <c r="G741" s="35">
        <f>10530/1660.2</f>
        <v>6.3426093241778094</v>
      </c>
      <c r="H741" s="35">
        <f>F741</f>
        <v>4.0672810504758461</v>
      </c>
      <c r="I741" s="35">
        <f>21689/1660.2</f>
        <v>13.064088664016383</v>
      </c>
      <c r="J741" s="35">
        <f>5359/1660.2</f>
        <v>3.2279243464642815</v>
      </c>
      <c r="K741" s="35">
        <f>J741</f>
        <v>3.2279243464642815</v>
      </c>
      <c r="L741" s="15" t="s">
        <v>131</v>
      </c>
    </row>
    <row r="742" spans="1:12" s="73" customFormat="1" ht="20.100000000000001" hidden="1" customHeight="1" thickBot="1" x14ac:dyDescent="0.3">
      <c r="A742" s="327"/>
      <c r="B742" s="322"/>
      <c r="C742" s="18">
        <f>(1/1660.2)*138978.06*1.2*P4</f>
        <v>124.42201617944569</v>
      </c>
      <c r="D742" s="18">
        <f>(1/553)*48642.78*1.2*P4</f>
        <v>130.73884839208145</v>
      </c>
      <c r="E742" s="18">
        <f>(1/1660.2)*92652.72*1.2*P4</f>
        <v>82.948619565632526</v>
      </c>
      <c r="F742" s="18">
        <f>(1/1660.2)*69489.54*1.2*P4</f>
        <v>62.211464674224395</v>
      </c>
      <c r="G742" s="19">
        <f>(1/1660.2)*69489.54*1.2*P4</f>
        <v>62.211464674224395</v>
      </c>
      <c r="H742" s="19">
        <f>(1/1660.2)*69489.54*1.2*P4</f>
        <v>62.211464674224395</v>
      </c>
      <c r="I742" s="19">
        <f>(1/1660.2)*91494*1.2*P4</f>
        <v>81.911259578110403</v>
      </c>
      <c r="J742" s="19">
        <f>(1/1660.2)*113499.48*1.2*P4</f>
        <v>101.61196765099952</v>
      </c>
      <c r="K742" s="18">
        <f>(1/1660.2)*48642.78*1.2*P4</f>
        <v>43.548116588857383</v>
      </c>
      <c r="L742" s="34" t="s">
        <v>131</v>
      </c>
    </row>
    <row r="743" spans="1:12" s="73" customFormat="1" ht="20.100000000000001" customHeight="1" thickBot="1" x14ac:dyDescent="0.3">
      <c r="A743" s="327"/>
      <c r="B743" s="323"/>
      <c r="C743" s="18">
        <f>C742+C741</f>
        <v>133.9256904355594</v>
      </c>
      <c r="D743" s="18">
        <f t="shared" ref="D743:K743" si="417">D742+D741</f>
        <v>153.34644332879031</v>
      </c>
      <c r="E743" s="18">
        <f t="shared" si="417"/>
        <v>87.567340201700475</v>
      </c>
      <c r="F743" s="18">
        <f t="shared" si="417"/>
        <v>66.278745724700244</v>
      </c>
      <c r="G743" s="18">
        <f t="shared" si="417"/>
        <v>68.554073998402203</v>
      </c>
      <c r="H743" s="18">
        <f t="shared" si="417"/>
        <v>66.278745724700244</v>
      </c>
      <c r="I743" s="18">
        <f t="shared" si="417"/>
        <v>94.975348242126785</v>
      </c>
      <c r="J743" s="18">
        <f t="shared" si="417"/>
        <v>104.83989199746379</v>
      </c>
      <c r="K743" s="18">
        <f t="shared" si="417"/>
        <v>46.776040935321667</v>
      </c>
      <c r="L743" s="34" t="s">
        <v>131</v>
      </c>
    </row>
    <row r="744" spans="1:12" s="73" customFormat="1" ht="20.100000000000001" customHeight="1" thickBot="1" x14ac:dyDescent="0.3">
      <c r="A744" s="328"/>
      <c r="B744" s="259" t="s">
        <v>212</v>
      </c>
      <c r="C744" s="36">
        <f>SUM(C739:C742)</f>
        <v>5645.5502444257118</v>
      </c>
      <c r="D744" s="36">
        <f t="shared" ref="D744:K744" si="418">SUM(D739:D742)</f>
        <v>11569.004313341606</v>
      </c>
      <c r="E744" s="36">
        <f t="shared" si="418"/>
        <v>992.58199867717803</v>
      </c>
      <c r="F744" s="36">
        <f t="shared" si="418"/>
        <v>584.72537497520239</v>
      </c>
      <c r="G744" s="36">
        <f t="shared" si="418"/>
        <v>1255.5995751460248</v>
      </c>
      <c r="H744" s="36">
        <f t="shared" si="418"/>
        <v>387.93068286486834</v>
      </c>
      <c r="I744" s="36">
        <f t="shared" si="418"/>
        <v>2780.1672425415691</v>
      </c>
      <c r="J744" s="36">
        <f t="shared" si="418"/>
        <v>3768.0963336172131</v>
      </c>
      <c r="K744" s="36">
        <f t="shared" si="418"/>
        <v>862.60766335411483</v>
      </c>
      <c r="L744" s="37" t="s">
        <v>131</v>
      </c>
    </row>
    <row r="745" spans="1:12" s="73" customFormat="1" ht="20.100000000000001" hidden="1" customHeight="1" thickBot="1" x14ac:dyDescent="0.3">
      <c r="A745" s="340" t="s">
        <v>1031</v>
      </c>
      <c r="B745" s="321" t="s">
        <v>82</v>
      </c>
      <c r="C745" s="9">
        <v>4199.3634517177352</v>
      </c>
      <c r="D745" s="9">
        <v>5719.93942625</v>
      </c>
      <c r="E745" s="9">
        <v>636.69027762302687</v>
      </c>
      <c r="F745" s="9">
        <v>444.3644343082637</v>
      </c>
      <c r="G745" s="9">
        <v>1037.3904846796659</v>
      </c>
      <c r="H745" s="9">
        <v>519.53161559888576</v>
      </c>
      <c r="I745" s="9">
        <v>1648.2864918755804</v>
      </c>
      <c r="J745" s="9">
        <v>2028.7034466109565</v>
      </c>
      <c r="K745" s="9">
        <v>460.09735515320335</v>
      </c>
      <c r="L745" s="21" t="s">
        <v>131</v>
      </c>
    </row>
    <row r="746" spans="1:12" s="73" customFormat="1" ht="20.100000000000001" customHeight="1" x14ac:dyDescent="0.25">
      <c r="A746" s="327"/>
      <c r="B746" s="322"/>
      <c r="C746" s="10">
        <f>C745/14.06*19.53*1.039</f>
        <v>6060.6043650296733</v>
      </c>
      <c r="D746" s="10">
        <f t="shared" ref="D746:K746" si="419">D745/14.06*19.53*1.039</f>
        <v>8255.1296769170931</v>
      </c>
      <c r="E746" s="10">
        <f t="shared" si="419"/>
        <v>918.88399756293347</v>
      </c>
      <c r="F746" s="10">
        <f t="shared" si="419"/>
        <v>641.31553774679685</v>
      </c>
      <c r="G746" s="10">
        <f t="shared" si="419"/>
        <v>1497.1824591934449</v>
      </c>
      <c r="H746" s="10">
        <f t="shared" si="419"/>
        <v>749.79830002129756</v>
      </c>
      <c r="I746" s="10">
        <f t="shared" si="419"/>
        <v>2378.8396556612342</v>
      </c>
      <c r="J746" s="10">
        <f t="shared" si="419"/>
        <v>2927.86492649304</v>
      </c>
      <c r="K746" s="10">
        <f t="shared" si="419"/>
        <v>664.02160018788061</v>
      </c>
      <c r="L746" s="21" t="s">
        <v>131</v>
      </c>
    </row>
    <row r="747" spans="1:12" s="73" customFormat="1" ht="20.100000000000001" customHeight="1" x14ac:dyDescent="0.25">
      <c r="A747" s="327"/>
      <c r="B747" s="322"/>
      <c r="C747" s="16">
        <f>C746*0.0214</f>
        <v>129.696933411635</v>
      </c>
      <c r="D747" s="16">
        <f t="shared" ref="D747:K747" si="420">D746*0.0214</f>
        <v>176.65977508602577</v>
      </c>
      <c r="E747" s="16">
        <f t="shared" si="420"/>
        <v>19.664117547846775</v>
      </c>
      <c r="F747" s="16">
        <f t="shared" si="420"/>
        <v>13.724152507781453</v>
      </c>
      <c r="G747" s="16">
        <f t="shared" si="420"/>
        <v>32.03970462673972</v>
      </c>
      <c r="H747" s="16">
        <f t="shared" si="420"/>
        <v>16.045683620455765</v>
      </c>
      <c r="I747" s="16">
        <f t="shared" si="420"/>
        <v>50.907168631150412</v>
      </c>
      <c r="J747" s="16">
        <f t="shared" si="420"/>
        <v>62.656309426951054</v>
      </c>
      <c r="K747" s="16">
        <f t="shared" si="420"/>
        <v>14.210062244020644</v>
      </c>
      <c r="L747" s="15" t="s">
        <v>131</v>
      </c>
    </row>
    <row r="748" spans="1:12" s="73" customFormat="1" ht="20.100000000000001" hidden="1" customHeight="1" x14ac:dyDescent="0.25">
      <c r="A748" s="327"/>
      <c r="B748" s="322"/>
      <c r="C748" s="16">
        <f>11986/1292.4</f>
        <v>9.2742185082017947</v>
      </c>
      <c r="D748" s="16">
        <f>9689/340</f>
        <v>28.497058823529411</v>
      </c>
      <c r="E748" s="16">
        <f>6654/1292.4</f>
        <v>5.1485608170844932</v>
      </c>
      <c r="F748" s="16">
        <f>11198/2/1292.4</f>
        <v>4.3322500773754253</v>
      </c>
      <c r="G748" s="16">
        <f>8881/1292.4</f>
        <v>6.8717115444134942</v>
      </c>
      <c r="H748" s="16">
        <f>F748</f>
        <v>4.3322500773754253</v>
      </c>
      <c r="I748" s="16">
        <f>11777/1292.4</f>
        <v>9.1125038687712774</v>
      </c>
      <c r="J748" s="16">
        <f>4681/1292.4</f>
        <v>3.6219436706901886</v>
      </c>
      <c r="K748" s="16">
        <f>J748</f>
        <v>3.6219436706901886</v>
      </c>
      <c r="L748" s="15" t="s">
        <v>131</v>
      </c>
    </row>
    <row r="749" spans="1:12" s="73" customFormat="1" ht="20.100000000000001" hidden="1" customHeight="1" thickBot="1" x14ac:dyDescent="0.25">
      <c r="A749" s="327"/>
      <c r="B749" s="322"/>
      <c r="C749" s="10">
        <f>(1/1292.4)*186995.58/1.5*1.2*P4</f>
        <v>143.36876093739914</v>
      </c>
      <c r="D749" s="10">
        <f>(1/1292.4)*158946.6/1.5*1.2*P4</f>
        <v>121.86372050725696</v>
      </c>
      <c r="E749" s="10">
        <f>(1/1292.4)*124663.38/1.5*1.2*P4</f>
        <v>95.578913281630236</v>
      </c>
      <c r="F749" s="10">
        <f>(1/1292.4)*93498.3/1.5*1.2*P4</f>
        <v>71.684771483653407</v>
      </c>
      <c r="G749" s="10">
        <f>(1/1292.4)*93498.3/1.5*1.2*P4</f>
        <v>71.684771483653407</v>
      </c>
      <c r="H749" s="10">
        <f>(1/1292.4)*93498.3/1.5*1.2*P4</f>
        <v>71.684771483653407</v>
      </c>
      <c r="I749" s="22">
        <f>(1/1292.4)*123105.84/1.5*1.2*P4</f>
        <v>94.384753612666742</v>
      </c>
      <c r="J749" s="22">
        <f>(1/1292.4)*152713.38/1.5*1.2*P4</f>
        <v>117.08473574168008</v>
      </c>
      <c r="K749" s="10">
        <f>(1/1292.4)*65448.3/1.5*1.2*P4</f>
        <v>50.178949023603565</v>
      </c>
      <c r="L749" s="21" t="s">
        <v>131</v>
      </c>
    </row>
    <row r="750" spans="1:12" s="73" customFormat="1" ht="20.100000000000001" customHeight="1" thickBot="1" x14ac:dyDescent="0.3">
      <c r="A750" s="327"/>
      <c r="B750" s="323"/>
      <c r="C750" s="9">
        <f>C749+C748</f>
        <v>152.64297944560093</v>
      </c>
      <c r="D750" s="9">
        <f t="shared" ref="D750:K750" si="421">D749+D748</f>
        <v>150.36077933078636</v>
      </c>
      <c r="E750" s="9">
        <f t="shared" si="421"/>
        <v>100.72747409871472</v>
      </c>
      <c r="F750" s="9">
        <f t="shared" si="421"/>
        <v>76.017021561028827</v>
      </c>
      <c r="G750" s="9">
        <f t="shared" si="421"/>
        <v>78.556483028066907</v>
      </c>
      <c r="H750" s="9">
        <f t="shared" si="421"/>
        <v>76.017021561028827</v>
      </c>
      <c r="I750" s="9">
        <f t="shared" si="421"/>
        <v>103.49725748143803</v>
      </c>
      <c r="J750" s="9">
        <f t="shared" si="421"/>
        <v>120.70667941237026</v>
      </c>
      <c r="K750" s="9">
        <f t="shared" si="421"/>
        <v>53.800892694293751</v>
      </c>
      <c r="L750" s="20" t="s">
        <v>131</v>
      </c>
    </row>
    <row r="751" spans="1:12" s="73" customFormat="1" ht="20.100000000000001" customHeight="1" thickBot="1" x14ac:dyDescent="0.3">
      <c r="A751" s="328"/>
      <c r="B751" s="259" t="s">
        <v>212</v>
      </c>
      <c r="C751" s="36">
        <f>SUM(C746:C749)</f>
        <v>6342.9442778869088</v>
      </c>
      <c r="D751" s="36">
        <f t="shared" ref="D751:K751" si="422">SUM(D746:D749)</f>
        <v>8582.150231333906</v>
      </c>
      <c r="E751" s="36">
        <f t="shared" si="422"/>
        <v>1039.2755892094949</v>
      </c>
      <c r="F751" s="36">
        <f t="shared" si="422"/>
        <v>731.05671181560717</v>
      </c>
      <c r="G751" s="36">
        <f t="shared" si="422"/>
        <v>1607.7786468482514</v>
      </c>
      <c r="H751" s="36">
        <f t="shared" si="422"/>
        <v>841.86100520278217</v>
      </c>
      <c r="I751" s="36">
        <f t="shared" si="422"/>
        <v>2533.2440817738229</v>
      </c>
      <c r="J751" s="36">
        <f t="shared" si="422"/>
        <v>3111.2279153323611</v>
      </c>
      <c r="K751" s="36">
        <f t="shared" si="422"/>
        <v>732.03255512619489</v>
      </c>
      <c r="L751" s="37" t="s">
        <v>131</v>
      </c>
    </row>
    <row r="752" spans="1:12" s="81" customFormat="1" ht="20.100000000000001" hidden="1" customHeight="1" thickBot="1" x14ac:dyDescent="0.3">
      <c r="A752" s="340" t="s">
        <v>1032</v>
      </c>
      <c r="B752" s="321" t="s">
        <v>174</v>
      </c>
      <c r="C752" s="9">
        <v>4122.8359344567953</v>
      </c>
      <c r="D752" s="9">
        <v>7550.4178314990522</v>
      </c>
      <c r="E752" s="9">
        <v>591.90372154894237</v>
      </c>
      <c r="F752" s="9">
        <v>412.08365055575479</v>
      </c>
      <c r="G752" s="9">
        <v>962.31768877733975</v>
      </c>
      <c r="H752" s="9">
        <v>385.56681276443175</v>
      </c>
      <c r="I752" s="9">
        <v>1528.5585624955181</v>
      </c>
      <c r="J752" s="9">
        <v>1898.5658390103983</v>
      </c>
      <c r="K752" s="9">
        <v>440.03323047687348</v>
      </c>
      <c r="L752" s="20" t="s">
        <v>131</v>
      </c>
    </row>
    <row r="753" spans="1:12" s="81" customFormat="1" ht="20.100000000000001" customHeight="1" x14ac:dyDescent="0.25">
      <c r="A753" s="327"/>
      <c r="B753" s="322"/>
      <c r="C753" s="10">
        <f>C752/14.06*19.53*1.039</f>
        <v>5950.1583389856978</v>
      </c>
      <c r="D753" s="10">
        <f t="shared" ref="D753:K753" si="423">D752/14.06*19.53*1.039</f>
        <v>10896.912304331036</v>
      </c>
      <c r="E753" s="10">
        <f t="shared" si="423"/>
        <v>854.24715429893513</v>
      </c>
      <c r="F753" s="10">
        <f t="shared" si="423"/>
        <v>594.7272723664787</v>
      </c>
      <c r="G753" s="10">
        <f t="shared" si="423"/>
        <v>1388.835915777559</v>
      </c>
      <c r="H753" s="10">
        <f t="shared" si="423"/>
        <v>556.45764776441217</v>
      </c>
      <c r="I753" s="10">
        <f t="shared" si="423"/>
        <v>2206.0459406709406</v>
      </c>
      <c r="J753" s="10">
        <f t="shared" si="423"/>
        <v>2740.0477580705638</v>
      </c>
      <c r="K753" s="10">
        <f t="shared" si="423"/>
        <v>635.06465873902266</v>
      </c>
      <c r="L753" s="26" t="s">
        <v>131</v>
      </c>
    </row>
    <row r="754" spans="1:12" s="81" customFormat="1" ht="20.100000000000001" customHeight="1" x14ac:dyDescent="0.25">
      <c r="A754" s="327"/>
      <c r="B754" s="322"/>
      <c r="C754" s="16">
        <f>C753*0.0214</f>
        <v>127.33338845429392</v>
      </c>
      <c r="D754" s="16">
        <f t="shared" ref="D754:K754" si="424">D753*0.0214</f>
        <v>233.19392331268415</v>
      </c>
      <c r="E754" s="16">
        <f t="shared" si="424"/>
        <v>18.280889101997211</v>
      </c>
      <c r="F754" s="16">
        <f t="shared" si="424"/>
        <v>12.727163628642643</v>
      </c>
      <c r="G754" s="16">
        <f t="shared" si="424"/>
        <v>29.72108859763976</v>
      </c>
      <c r="H754" s="16">
        <f t="shared" si="424"/>
        <v>11.908193662158419</v>
      </c>
      <c r="I754" s="16">
        <f t="shared" si="424"/>
        <v>47.209383130358127</v>
      </c>
      <c r="J754" s="16">
        <f t="shared" si="424"/>
        <v>58.637022022710063</v>
      </c>
      <c r="K754" s="16">
        <f t="shared" si="424"/>
        <v>13.590383697015085</v>
      </c>
      <c r="L754" s="15" t="s">
        <v>131</v>
      </c>
    </row>
    <row r="755" spans="1:12" s="81" customFormat="1" ht="20.100000000000001" hidden="1" customHeight="1" x14ac:dyDescent="0.25">
      <c r="A755" s="327"/>
      <c r="B755" s="322"/>
      <c r="C755" s="16">
        <f>21188/2629.2</f>
        <v>8.0587250874790808</v>
      </c>
      <c r="D755" s="16">
        <f>16515/657</f>
        <v>25.136986301369863</v>
      </c>
      <c r="E755" s="16">
        <f>10340/2629.2</f>
        <v>3.9327552107104826</v>
      </c>
      <c r="F755" s="16">
        <f>31366/2/2629.2</f>
        <v>5.9649322987981135</v>
      </c>
      <c r="G755" s="16">
        <f>29010/2629.2</f>
        <v>11.033774532177089</v>
      </c>
      <c r="H755" s="16">
        <f>F755</f>
        <v>5.9649322987981135</v>
      </c>
      <c r="I755" s="16">
        <f>41970/2629.2</f>
        <v>15.963030579643998</v>
      </c>
      <c r="J755" s="16">
        <f>6327/2629.2</f>
        <v>2.4064354176175264</v>
      </c>
      <c r="K755" s="16">
        <f>J755</f>
        <v>2.4064354176175264</v>
      </c>
      <c r="L755" s="15" t="s">
        <v>131</v>
      </c>
    </row>
    <row r="756" spans="1:12" s="81" customFormat="1" ht="20.100000000000001" hidden="1" customHeight="1" x14ac:dyDescent="0.25">
      <c r="A756" s="327"/>
      <c r="B756" s="322"/>
      <c r="C756" s="10">
        <f>(1/1394.5)*188649*1.2*P4</f>
        <v>201.07005087580907</v>
      </c>
      <c r="D756" s="10">
        <f>(1/657)*66027.66*1.2*P4</f>
        <v>149.3729423178082</v>
      </c>
      <c r="E756" s="10">
        <f>(1/1394.5)*125766*1.2*P4</f>
        <v>134.04670058387273</v>
      </c>
      <c r="F756" s="10">
        <f>(1/1394.5)*94324.5*1.2*P4</f>
        <v>100.53502543790454</v>
      </c>
      <c r="G756" s="22">
        <f>(1/1394.5)*94324.5*1.2*P4</f>
        <v>100.53502543790454</v>
      </c>
      <c r="H756" s="22">
        <f>(1/1394.5)*94324.5*1.2*P4</f>
        <v>100.53502543790454</v>
      </c>
      <c r="I756" s="22">
        <f>(1/1394.5)*124194.18*1.2*P4</f>
        <v>132.37138861631595</v>
      </c>
      <c r="J756" s="22">
        <f>(1/1394.5)*154063.86*1.2*P4</f>
        <v>164.20775179472739</v>
      </c>
      <c r="K756" s="10">
        <f>(1/1394.5)*66027.66*1.2*P4</f>
        <v>70.375061386016483</v>
      </c>
      <c r="L756" s="21" t="s">
        <v>131</v>
      </c>
    </row>
    <row r="757" spans="1:12" s="81" customFormat="1" ht="20.100000000000001" customHeight="1" thickBot="1" x14ac:dyDescent="0.3">
      <c r="A757" s="327"/>
      <c r="B757" s="323"/>
      <c r="C757" s="9">
        <f>C756+C755</f>
        <v>209.12877596328815</v>
      </c>
      <c r="D757" s="9">
        <f t="shared" ref="D757:K757" si="425">D756+D755</f>
        <v>174.50992861917805</v>
      </c>
      <c r="E757" s="9">
        <f t="shared" si="425"/>
        <v>137.97945579458323</v>
      </c>
      <c r="F757" s="9">
        <f t="shared" si="425"/>
        <v>106.49995773670265</v>
      </c>
      <c r="G757" s="9">
        <f t="shared" si="425"/>
        <v>111.56879997008163</v>
      </c>
      <c r="H757" s="9">
        <f t="shared" si="425"/>
        <v>106.49995773670265</v>
      </c>
      <c r="I757" s="9">
        <f t="shared" si="425"/>
        <v>148.33441919595995</v>
      </c>
      <c r="J757" s="9">
        <f t="shared" si="425"/>
        <v>166.61418721234492</v>
      </c>
      <c r="K757" s="9">
        <f t="shared" si="425"/>
        <v>72.781496803634013</v>
      </c>
      <c r="L757" s="20" t="s">
        <v>131</v>
      </c>
    </row>
    <row r="758" spans="1:12" s="81" customFormat="1" ht="20.100000000000001" customHeight="1" thickBot="1" x14ac:dyDescent="0.3">
      <c r="A758" s="328"/>
      <c r="B758" s="259" t="s">
        <v>212</v>
      </c>
      <c r="C758" s="36">
        <f>SUM(C753:C756)</f>
        <v>6286.6205034032791</v>
      </c>
      <c r="D758" s="36">
        <f t="shared" ref="D758:K758" si="426">SUM(D753:D756)</f>
        <v>11304.616156262899</v>
      </c>
      <c r="E758" s="36">
        <f t="shared" si="426"/>
        <v>1010.5074991955156</v>
      </c>
      <c r="F758" s="36">
        <f t="shared" si="426"/>
        <v>713.95439373182398</v>
      </c>
      <c r="G758" s="36">
        <f t="shared" si="426"/>
        <v>1530.1258043452804</v>
      </c>
      <c r="H758" s="36">
        <f t="shared" si="426"/>
        <v>674.86579916327321</v>
      </c>
      <c r="I758" s="36">
        <f t="shared" si="426"/>
        <v>2401.5897429972588</v>
      </c>
      <c r="J758" s="36">
        <f t="shared" si="426"/>
        <v>2965.2989673056186</v>
      </c>
      <c r="K758" s="36">
        <f t="shared" si="426"/>
        <v>721.43653923967179</v>
      </c>
      <c r="L758" s="37" t="s">
        <v>131</v>
      </c>
    </row>
    <row r="759" spans="1:12" s="53" customFormat="1" ht="20.100000000000001" hidden="1" customHeight="1" thickBot="1" x14ac:dyDescent="0.3">
      <c r="A759" s="340" t="s">
        <v>1033</v>
      </c>
      <c r="B759" s="321" t="s">
        <v>175</v>
      </c>
      <c r="C759" s="9">
        <v>4007.9492367086536</v>
      </c>
      <c r="D759" s="9">
        <v>5686.9264987499992</v>
      </c>
      <c r="E759" s="9">
        <v>450.29963454932107</v>
      </c>
      <c r="F759" s="9">
        <v>313.38731473908064</v>
      </c>
      <c r="G759" s="9">
        <v>731.83438540814655</v>
      </c>
      <c r="H759" s="9">
        <v>363.84321282512678</v>
      </c>
      <c r="I759" s="9">
        <v>1162.4473553083592</v>
      </c>
      <c r="J759" s="9">
        <v>1406.0547629641749</v>
      </c>
      <c r="K759" s="9">
        <v>324.24871765090785</v>
      </c>
      <c r="L759" s="21" t="s">
        <v>131</v>
      </c>
    </row>
    <row r="760" spans="1:12" s="53" customFormat="1" ht="20.100000000000001" customHeight="1" x14ac:dyDescent="0.25">
      <c r="A760" s="327"/>
      <c r="B760" s="322"/>
      <c r="C760" s="7">
        <f>C759/14.06*19.53*1.039</f>
        <v>5784.3515852093797</v>
      </c>
      <c r="D760" s="7">
        <f t="shared" ref="D760:K760" si="427">D759/14.06*19.53*1.039</f>
        <v>8207.4847672041524</v>
      </c>
      <c r="E760" s="7">
        <f t="shared" si="427"/>
        <v>649.88133608786779</v>
      </c>
      <c r="F760" s="7">
        <f t="shared" si="427"/>
        <v>452.28676905203133</v>
      </c>
      <c r="G760" s="7">
        <f t="shared" si="427"/>
        <v>1056.1978551461539</v>
      </c>
      <c r="H760" s="7">
        <f t="shared" si="427"/>
        <v>525.10571880421332</v>
      </c>
      <c r="I760" s="7">
        <f t="shared" si="427"/>
        <v>1677.6670075597417</v>
      </c>
      <c r="J760" s="7">
        <f t="shared" si="427"/>
        <v>2029.2460349926923</v>
      </c>
      <c r="K760" s="7">
        <f t="shared" si="427"/>
        <v>467.96216049042653</v>
      </c>
      <c r="L760" s="21" t="s">
        <v>131</v>
      </c>
    </row>
    <row r="761" spans="1:12" s="53" customFormat="1" ht="20.100000000000001" customHeight="1" x14ac:dyDescent="0.25">
      <c r="A761" s="327"/>
      <c r="B761" s="322"/>
      <c r="C761" s="35">
        <f>C760*0.0214</f>
        <v>123.78512392348073</v>
      </c>
      <c r="D761" s="35">
        <f t="shared" ref="D761:K761" si="428">D760*0.0214</f>
        <v>175.64017401816886</v>
      </c>
      <c r="E761" s="35">
        <f t="shared" si="428"/>
        <v>13.907460592280371</v>
      </c>
      <c r="F761" s="35">
        <f t="shared" si="428"/>
        <v>9.6789368577134702</v>
      </c>
      <c r="G761" s="35">
        <f t="shared" si="428"/>
        <v>22.602634100127691</v>
      </c>
      <c r="H761" s="35">
        <f t="shared" si="428"/>
        <v>11.237262382410165</v>
      </c>
      <c r="I761" s="35">
        <f t="shared" si="428"/>
        <v>35.90207396177847</v>
      </c>
      <c r="J761" s="35">
        <f t="shared" si="428"/>
        <v>43.425865148843613</v>
      </c>
      <c r="K761" s="35">
        <f t="shared" si="428"/>
        <v>10.014390234495128</v>
      </c>
      <c r="L761" s="15" t="s">
        <v>131</v>
      </c>
    </row>
    <row r="762" spans="1:12" s="53" customFormat="1" ht="20.100000000000001" hidden="1" customHeight="1" x14ac:dyDescent="0.25">
      <c r="A762" s="327"/>
      <c r="B762" s="322"/>
      <c r="C762" s="16">
        <f>14998/2071</f>
        <v>7.2419121197489131</v>
      </c>
      <c r="D762" s="16">
        <f>11923/435</f>
        <v>27.409195402298849</v>
      </c>
      <c r="E762" s="16">
        <f>8801/2071</f>
        <v>4.2496378561081602</v>
      </c>
      <c r="F762" s="16">
        <f>25361/2/2071</f>
        <v>6.1228874939642681</v>
      </c>
      <c r="G762" s="16">
        <f>23507/2071</f>
        <v>11.350555287300821</v>
      </c>
      <c r="H762" s="16">
        <f>F762</f>
        <v>6.1228874939642681</v>
      </c>
      <c r="I762" s="16">
        <f>26291/2071</f>
        <v>12.694833413809754</v>
      </c>
      <c r="J762" s="16">
        <f>5220/2071</f>
        <v>2.520521487204249</v>
      </c>
      <c r="K762" s="16">
        <f>J762</f>
        <v>2.520521487204249</v>
      </c>
      <c r="L762" s="15" t="s">
        <v>131</v>
      </c>
    </row>
    <row r="763" spans="1:12" s="53" customFormat="1" ht="20.100000000000001" hidden="1" customHeight="1" thickBot="1" x14ac:dyDescent="0.3">
      <c r="A763" s="327"/>
      <c r="B763" s="322"/>
      <c r="C763" s="18">
        <f>(1/1833.9)*258039.6*1.2*P4</f>
        <v>209.13277900109341</v>
      </c>
      <c r="D763" s="18">
        <f>(1/1833.9)*219333.66*1.2*P4</f>
        <v>177.76286215092938</v>
      </c>
      <c r="E763" s="18">
        <f>(1/1833.9)*172026.06*1.2*P4</f>
        <v>139.42157710835406</v>
      </c>
      <c r="F763" s="18">
        <f>(1/1833.9)*129019.8*1.2*P4</f>
        <v>104.56638950054671</v>
      </c>
      <c r="G763" s="19">
        <f>(1/1833.9)*129019.8*1.2*P4</f>
        <v>104.56638950054671</v>
      </c>
      <c r="H763" s="19">
        <f>(1/1833.9)*129019.8*1.2*P4</f>
        <v>104.56638950054671</v>
      </c>
      <c r="I763" s="19">
        <f>(1/1833.9)*169875.9*1.2*P4</f>
        <v>137.67894172953237</v>
      </c>
      <c r="J763" s="19">
        <f>(1/1833.9)*90313.86*1.2*P4</f>
        <v>73.196472650382688</v>
      </c>
      <c r="K763" s="18">
        <f>(1/2071)*210732/2*1.2*P4</f>
        <v>75.619150355028069</v>
      </c>
      <c r="L763" s="20" t="s">
        <v>131</v>
      </c>
    </row>
    <row r="764" spans="1:12" s="53" customFormat="1" ht="20.100000000000001" customHeight="1" thickBot="1" x14ac:dyDescent="0.3">
      <c r="A764" s="327"/>
      <c r="B764" s="323"/>
      <c r="C764" s="18">
        <f>C763+C762</f>
        <v>216.37469112084233</v>
      </c>
      <c r="D764" s="18">
        <f t="shared" ref="D764:K764" si="429">D763+D762</f>
        <v>205.17205755322823</v>
      </c>
      <c r="E764" s="18">
        <f t="shared" si="429"/>
        <v>143.67121496446222</v>
      </c>
      <c r="F764" s="18">
        <f t="shared" si="429"/>
        <v>110.68927699451098</v>
      </c>
      <c r="G764" s="18">
        <f t="shared" si="429"/>
        <v>115.91694478784753</v>
      </c>
      <c r="H764" s="18">
        <f t="shared" si="429"/>
        <v>110.68927699451098</v>
      </c>
      <c r="I764" s="18">
        <f t="shared" si="429"/>
        <v>150.37377514334213</v>
      </c>
      <c r="J764" s="18">
        <f t="shared" si="429"/>
        <v>75.716994137586937</v>
      </c>
      <c r="K764" s="18">
        <f t="shared" si="429"/>
        <v>78.139671842232318</v>
      </c>
      <c r="L764" s="34" t="s">
        <v>131</v>
      </c>
    </row>
    <row r="765" spans="1:12" s="53" customFormat="1" ht="20.100000000000001" customHeight="1" thickBot="1" x14ac:dyDescent="0.3">
      <c r="A765" s="328"/>
      <c r="B765" s="259" t="s">
        <v>212</v>
      </c>
      <c r="C765" s="36">
        <f>SUM(C760:C763)</f>
        <v>6124.511400253703</v>
      </c>
      <c r="D765" s="36">
        <f t="shared" ref="D765:K765" si="430">SUM(D760:D763)</f>
        <v>8588.2969987755496</v>
      </c>
      <c r="E765" s="36">
        <f t="shared" si="430"/>
        <v>807.4600116446104</v>
      </c>
      <c r="F765" s="36">
        <f t="shared" si="430"/>
        <v>572.6549829042558</v>
      </c>
      <c r="G765" s="36">
        <f t="shared" si="430"/>
        <v>1194.7174340341289</v>
      </c>
      <c r="H765" s="36">
        <f t="shared" si="430"/>
        <v>647.03225818113458</v>
      </c>
      <c r="I765" s="36">
        <f t="shared" si="430"/>
        <v>1863.9428566648623</v>
      </c>
      <c r="J765" s="36">
        <f t="shared" si="430"/>
        <v>2148.3888942791227</v>
      </c>
      <c r="K765" s="36">
        <f t="shared" si="430"/>
        <v>556.11622256715395</v>
      </c>
      <c r="L765" s="37" t="s">
        <v>131</v>
      </c>
    </row>
    <row r="766" spans="1:12" s="53" customFormat="1" ht="20.100000000000001" hidden="1" customHeight="1" thickBot="1" x14ac:dyDescent="0.3">
      <c r="A766" s="340" t="s">
        <v>1034</v>
      </c>
      <c r="B766" s="321" t="s">
        <v>176</v>
      </c>
      <c r="C766" s="9">
        <v>5984.5177261864119</v>
      </c>
      <c r="D766" s="9">
        <v>6681.6814103693187</v>
      </c>
      <c r="E766" s="9">
        <v>887.3543772618641</v>
      </c>
      <c r="F766" s="9">
        <v>733.46570843291215</v>
      </c>
      <c r="G766" s="9">
        <v>1054.5815541140319</v>
      </c>
      <c r="H766" s="9">
        <v>412.01040594059401</v>
      </c>
      <c r="I766" s="9">
        <v>3869.2321270058046</v>
      </c>
      <c r="J766" s="9">
        <v>2188.9865986684877</v>
      </c>
      <c r="K766" s="9">
        <v>2039.6886227381358</v>
      </c>
      <c r="L766" s="21" t="s">
        <v>131</v>
      </c>
    </row>
    <row r="767" spans="1:12" s="53" customFormat="1" ht="20.100000000000001" customHeight="1" x14ac:dyDescent="0.25">
      <c r="A767" s="327"/>
      <c r="B767" s="322"/>
      <c r="C767" s="10">
        <f>C766/14.06*19.53*1.039</f>
        <v>8636.9743107343547</v>
      </c>
      <c r="D767" s="10">
        <f t="shared" ref="D767:K767" si="431">D766/14.06*19.53*1.039</f>
        <v>9643.1347243491309</v>
      </c>
      <c r="E767" s="10">
        <f t="shared" si="431"/>
        <v>1280.6473823935453</v>
      </c>
      <c r="F767" s="10">
        <f t="shared" si="431"/>
        <v>1058.5522127906734</v>
      </c>
      <c r="G767" s="10">
        <f t="shared" si="431"/>
        <v>1521.9929505098914</v>
      </c>
      <c r="H767" s="10">
        <f t="shared" si="431"/>
        <v>594.6215642896567</v>
      </c>
      <c r="I767" s="10">
        <f t="shared" si="431"/>
        <v>5584.1523097154959</v>
      </c>
      <c r="J767" s="10">
        <f t="shared" si="431"/>
        <v>3159.1887407257032</v>
      </c>
      <c r="K767" s="10">
        <f t="shared" si="431"/>
        <v>2943.7189498831258</v>
      </c>
      <c r="L767" s="21" t="s">
        <v>131</v>
      </c>
    </row>
    <row r="768" spans="1:12" s="53" customFormat="1" ht="20.100000000000001" customHeight="1" x14ac:dyDescent="0.25">
      <c r="A768" s="327"/>
      <c r="B768" s="322"/>
      <c r="C768" s="16">
        <f>C767*0.0214</f>
        <v>184.83125024971517</v>
      </c>
      <c r="D768" s="16">
        <f t="shared" ref="D768:K768" si="432">D767*0.0214</f>
        <v>206.3630831010714</v>
      </c>
      <c r="E768" s="16">
        <f t="shared" si="432"/>
        <v>27.405853983221867</v>
      </c>
      <c r="F768" s="16">
        <f t="shared" si="432"/>
        <v>22.653017353720408</v>
      </c>
      <c r="G768" s="16">
        <f t="shared" si="432"/>
        <v>32.570649140911677</v>
      </c>
      <c r="H768" s="16">
        <f t="shared" si="432"/>
        <v>12.724901475798653</v>
      </c>
      <c r="I768" s="16">
        <f t="shared" si="432"/>
        <v>119.50085942791161</v>
      </c>
      <c r="J768" s="16">
        <f t="shared" si="432"/>
        <v>67.606639051530038</v>
      </c>
      <c r="K768" s="16">
        <f t="shared" si="432"/>
        <v>62.995585527498889</v>
      </c>
      <c r="L768" s="15" t="s">
        <v>131</v>
      </c>
    </row>
    <row r="769" spans="1:12" s="53" customFormat="1" ht="20.100000000000001" hidden="1" customHeight="1" x14ac:dyDescent="0.25">
      <c r="A769" s="327"/>
      <c r="B769" s="322"/>
      <c r="C769" s="16">
        <f>12253/1593.7</f>
        <v>7.6883980673903496</v>
      </c>
      <c r="D769" s="16">
        <f>9887/320</f>
        <v>30.896875000000001</v>
      </c>
      <c r="E769" s="16">
        <f>7485/1593.7</f>
        <v>4.6966179331116269</v>
      </c>
      <c r="F769" s="16">
        <f>13088/2/1593.7</f>
        <v>4.106168036644287</v>
      </c>
      <c r="G769" s="16">
        <f>10232/1593.7</f>
        <v>6.4202798519169226</v>
      </c>
      <c r="H769" s="16">
        <f>F769</f>
        <v>4.106168036644287</v>
      </c>
      <c r="I769" s="16">
        <f>20944/1593.7</f>
        <v>13.141745623392106</v>
      </c>
      <c r="J769" s="16">
        <f>4729/1593.7</f>
        <v>2.9673087783146137</v>
      </c>
      <c r="K769" s="16">
        <f>J769</f>
        <v>2.9673087783146137</v>
      </c>
      <c r="L769" s="15" t="s">
        <v>131</v>
      </c>
    </row>
    <row r="770" spans="1:12" s="53" customFormat="1" ht="20.100000000000001" hidden="1" customHeight="1" thickBot="1" x14ac:dyDescent="0.3">
      <c r="A770" s="327"/>
      <c r="B770" s="322"/>
      <c r="C770" s="43">
        <f>(1/2050.3)*261543.3*1.2*P4</f>
        <v>189.59967406222961</v>
      </c>
      <c r="D770" s="27">
        <f>(1/410)*91539.9/2*1.2*P4</f>
        <v>165.9235306032092</v>
      </c>
      <c r="E770" s="27">
        <f>(1/2050.3)*174362.88*1.2*P4</f>
        <v>126.40027565818608</v>
      </c>
      <c r="F770" s="27">
        <f>(1/2050.3)*130772.16*1.2*P4</f>
        <v>94.800206743639563</v>
      </c>
      <c r="G770" s="27">
        <f>(1/2050.3)*130772.16*1.2*P4</f>
        <v>94.800206743639563</v>
      </c>
      <c r="H770" s="28">
        <f>(1/2050.3)*130772.16*1.2*P4</f>
        <v>94.800206743639563</v>
      </c>
      <c r="I770" s="28">
        <f>(1/2050.3)*172183.14*1.2*P4</f>
        <v>124.82012432744887</v>
      </c>
      <c r="J770" s="28">
        <f>(1/2050.3)*213594.12*1.2*P4</f>
        <v>154.84004191125814</v>
      </c>
      <c r="K770" s="28">
        <f>(1/2050.3)*91539.9*1.2*P4</f>
        <v>66.359701065517996</v>
      </c>
      <c r="L770" s="30" t="s">
        <v>131</v>
      </c>
    </row>
    <row r="771" spans="1:12" s="53" customFormat="1" ht="20.100000000000001" customHeight="1" thickBot="1" x14ac:dyDescent="0.3">
      <c r="A771" s="327"/>
      <c r="B771" s="323"/>
      <c r="C771" s="64">
        <f>C770+C769</f>
        <v>197.28807212961996</v>
      </c>
      <c r="D771" s="64">
        <f t="shared" ref="D771:K771" si="433">D770+D769</f>
        <v>196.8204056032092</v>
      </c>
      <c r="E771" s="64">
        <f t="shared" si="433"/>
        <v>131.09689359129771</v>
      </c>
      <c r="F771" s="64">
        <f t="shared" si="433"/>
        <v>98.906374780283855</v>
      </c>
      <c r="G771" s="64">
        <f t="shared" si="433"/>
        <v>101.22048659555648</v>
      </c>
      <c r="H771" s="64">
        <f t="shared" si="433"/>
        <v>98.906374780283855</v>
      </c>
      <c r="I771" s="64">
        <f t="shared" si="433"/>
        <v>137.96186995084096</v>
      </c>
      <c r="J771" s="64">
        <f t="shared" si="433"/>
        <v>157.80735068957276</v>
      </c>
      <c r="K771" s="64">
        <f t="shared" si="433"/>
        <v>69.327009843832613</v>
      </c>
      <c r="L771" s="41" t="s">
        <v>131</v>
      </c>
    </row>
    <row r="772" spans="1:12" s="53" customFormat="1" ht="20.100000000000001" customHeight="1" thickBot="1" x14ac:dyDescent="0.3">
      <c r="A772" s="328"/>
      <c r="B772" s="265" t="s">
        <v>212</v>
      </c>
      <c r="C772" s="36">
        <f>SUM(C767:C770)</f>
        <v>9019.0936331136909</v>
      </c>
      <c r="D772" s="36">
        <f t="shared" ref="D772:K772" si="434">SUM(D767:D770)</f>
        <v>10046.318213053411</v>
      </c>
      <c r="E772" s="36">
        <f t="shared" si="434"/>
        <v>1439.1501299680649</v>
      </c>
      <c r="F772" s="36">
        <f t="shared" si="434"/>
        <v>1180.1116049246775</v>
      </c>
      <c r="G772" s="36">
        <f t="shared" si="434"/>
        <v>1655.7840862463597</v>
      </c>
      <c r="H772" s="36">
        <f t="shared" si="434"/>
        <v>706.25284054573922</v>
      </c>
      <c r="I772" s="36">
        <f t="shared" si="434"/>
        <v>5841.6150390942485</v>
      </c>
      <c r="J772" s="36">
        <f t="shared" si="434"/>
        <v>3384.602730466806</v>
      </c>
      <c r="K772" s="36">
        <f t="shared" si="434"/>
        <v>3076.0415452544571</v>
      </c>
      <c r="L772" s="41" t="s">
        <v>131</v>
      </c>
    </row>
    <row r="773" spans="1:12" s="73" customFormat="1" ht="20.100000000000001" hidden="1" customHeight="1" thickBot="1" x14ac:dyDescent="0.3">
      <c r="A773" s="340" t="s">
        <v>1035</v>
      </c>
      <c r="B773" s="321" t="s">
        <v>83</v>
      </c>
      <c r="C773" s="9">
        <v>9333.4895749900297</v>
      </c>
      <c r="D773" s="9">
        <v>6382.4010780000017</v>
      </c>
      <c r="E773" s="9">
        <v>1399.5846420023934</v>
      </c>
      <c r="F773" s="9">
        <v>741.08925029916247</v>
      </c>
      <c r="G773" s="9" t="s">
        <v>131</v>
      </c>
      <c r="H773" s="9">
        <v>956.08443577981654</v>
      </c>
      <c r="I773" s="9">
        <v>4056.338455524532</v>
      </c>
      <c r="J773" s="9">
        <v>3814.6005113681695</v>
      </c>
      <c r="K773" s="9" t="s">
        <v>131</v>
      </c>
      <c r="L773" s="21" t="s">
        <v>131</v>
      </c>
    </row>
    <row r="774" spans="1:12" s="73" customFormat="1" ht="20.100000000000001" customHeight="1" x14ac:dyDescent="0.25">
      <c r="A774" s="327"/>
      <c r="B774" s="322"/>
      <c r="C774" s="10">
        <f>C773/12.79*19.53*1.039</f>
        <v>14807.825676633147</v>
      </c>
      <c r="D774" s="10">
        <f t="shared" ref="D774:J774" si="435">D773/12.79*19.53*1.039</f>
        <v>10125.846480251783</v>
      </c>
      <c r="E774" s="10">
        <f t="shared" si="435"/>
        <v>2220.4776929304694</v>
      </c>
      <c r="F774" s="10">
        <f t="shared" si="435"/>
        <v>1175.7575064595785</v>
      </c>
      <c r="G774" s="10" t="s">
        <v>131</v>
      </c>
      <c r="H774" s="10">
        <f t="shared" si="435"/>
        <v>1516.8529994511518</v>
      </c>
      <c r="I774" s="10">
        <f t="shared" si="435"/>
        <v>6435.4872046765822</v>
      </c>
      <c r="J774" s="10">
        <f t="shared" si="435"/>
        <v>6051.9636245906286</v>
      </c>
      <c r="K774" s="10" t="s">
        <v>131</v>
      </c>
      <c r="L774" s="21" t="s">
        <v>131</v>
      </c>
    </row>
    <row r="775" spans="1:12" s="73" customFormat="1" ht="20.100000000000001" customHeight="1" x14ac:dyDescent="0.25">
      <c r="A775" s="327"/>
      <c r="B775" s="322"/>
      <c r="C775" s="16">
        <f>C774*0.0214</f>
        <v>316.88746947994935</v>
      </c>
      <c r="D775" s="16">
        <f t="shared" ref="D775:J775" si="436">D774*0.0214</f>
        <v>216.69311467738814</v>
      </c>
      <c r="E775" s="16">
        <f t="shared" si="436"/>
        <v>47.518222628712046</v>
      </c>
      <c r="F775" s="16">
        <f t="shared" si="436"/>
        <v>25.16121063823498</v>
      </c>
      <c r="G775" s="16" t="s">
        <v>131</v>
      </c>
      <c r="H775" s="16">
        <f t="shared" si="436"/>
        <v>32.460654188254651</v>
      </c>
      <c r="I775" s="16">
        <f t="shared" si="436"/>
        <v>137.71942618007884</v>
      </c>
      <c r="J775" s="16">
        <f t="shared" si="436"/>
        <v>129.51202156623944</v>
      </c>
      <c r="K775" s="16" t="s">
        <v>131</v>
      </c>
      <c r="L775" s="15" t="s">
        <v>131</v>
      </c>
    </row>
    <row r="776" spans="1:12" s="73" customFormat="1" ht="20.100000000000001" hidden="1" customHeight="1" x14ac:dyDescent="0.25">
      <c r="A776" s="327"/>
      <c r="B776" s="322"/>
      <c r="C776" s="16">
        <f>7300/501.4</f>
        <v>14.559234144395692</v>
      </c>
      <c r="D776" s="16">
        <f>6213/263</f>
        <v>23.623574144486692</v>
      </c>
      <c r="E776" s="16">
        <f>4473/501.4</f>
        <v>8.9210211408057436</v>
      </c>
      <c r="F776" s="16">
        <f>4663/2/501.4</f>
        <v>4.6499800558436384</v>
      </c>
      <c r="G776" s="16" t="s">
        <v>131</v>
      </c>
      <c r="H776" s="16">
        <f>F776</f>
        <v>4.6499800558436384</v>
      </c>
      <c r="I776" s="16">
        <f>5112/501.4</f>
        <v>10.195452732349422</v>
      </c>
      <c r="J776" s="16">
        <f>3843/501.4</f>
        <v>7.664539289988034</v>
      </c>
      <c r="K776" s="16" t="s">
        <v>131</v>
      </c>
      <c r="L776" s="15" t="s">
        <v>131</v>
      </c>
    </row>
    <row r="777" spans="1:12" s="73" customFormat="1" ht="20.100000000000001" hidden="1" customHeight="1" thickBot="1" x14ac:dyDescent="0.3">
      <c r="A777" s="327"/>
      <c r="B777" s="322"/>
      <c r="C777" s="18">
        <f>(1/501.4)*82849.5/1.5*1.2*P4</f>
        <v>163.72903498205022</v>
      </c>
      <c r="D777" s="18">
        <f>(1/501.4)*70422.84/1.5*1.2*P4</f>
        <v>139.17119154485331</v>
      </c>
      <c r="E777" s="18">
        <f>(1/501.4)*55233/1.5*1.2*P4</f>
        <v>109.1526899880335</v>
      </c>
      <c r="F777" s="18">
        <f>(1/501.4)*41425.26/1.2*1.2*P4</f>
        <v>102.33190670554028</v>
      </c>
      <c r="G777" s="18" t="s">
        <v>131</v>
      </c>
      <c r="H777" s="18">
        <f>(1/501.4)*41425.26/1.2*1.2*P4</f>
        <v>102.33190670554028</v>
      </c>
      <c r="I777" s="18">
        <f>(1/501.4)*54542/1.2*1.2*P4</f>
        <v>134.73390041567819</v>
      </c>
      <c r="J777" s="19">
        <f>(1/501.4)*67660.68/1.2*1.2*P4</f>
        <v>167.14068646505572</v>
      </c>
      <c r="K777" s="18" t="s">
        <v>131</v>
      </c>
      <c r="L777" s="20" t="s">
        <v>131</v>
      </c>
    </row>
    <row r="778" spans="1:12" s="73" customFormat="1" ht="20.100000000000001" customHeight="1" thickBot="1" x14ac:dyDescent="0.3">
      <c r="A778" s="327"/>
      <c r="B778" s="323"/>
      <c r="C778" s="18">
        <f>C777+C776</f>
        <v>178.28826912644593</v>
      </c>
      <c r="D778" s="18">
        <f t="shared" ref="D778:J778" si="437">D777+D776</f>
        <v>162.79476568934001</v>
      </c>
      <c r="E778" s="18">
        <f t="shared" si="437"/>
        <v>118.07371112883925</v>
      </c>
      <c r="F778" s="18">
        <f t="shared" si="437"/>
        <v>106.98188676138392</v>
      </c>
      <c r="G778" s="18" t="s">
        <v>131</v>
      </c>
      <c r="H778" s="18">
        <f t="shared" si="437"/>
        <v>106.98188676138392</v>
      </c>
      <c r="I778" s="18">
        <f t="shared" si="437"/>
        <v>144.92935314802762</v>
      </c>
      <c r="J778" s="18">
        <f t="shared" si="437"/>
        <v>174.80522575504375</v>
      </c>
      <c r="K778" s="18" t="s">
        <v>131</v>
      </c>
      <c r="L778" s="34" t="s">
        <v>131</v>
      </c>
    </row>
    <row r="779" spans="1:12" s="73" customFormat="1" ht="20.100000000000001" customHeight="1" thickBot="1" x14ac:dyDescent="0.3">
      <c r="A779" s="328"/>
      <c r="B779" s="265" t="s">
        <v>212</v>
      </c>
      <c r="C779" s="36">
        <f>SUM(C774:C777)</f>
        <v>15303.001415239542</v>
      </c>
      <c r="D779" s="36">
        <f t="shared" ref="D779:J779" si="438">SUM(D774:D777)</f>
        <v>10505.334360618512</v>
      </c>
      <c r="E779" s="36">
        <f t="shared" si="438"/>
        <v>2386.0696266880209</v>
      </c>
      <c r="F779" s="36">
        <f t="shared" si="438"/>
        <v>1307.9006038591972</v>
      </c>
      <c r="G779" s="36" t="s">
        <v>131</v>
      </c>
      <c r="H779" s="36">
        <f t="shared" si="438"/>
        <v>1656.2955404007903</v>
      </c>
      <c r="I779" s="36">
        <f t="shared" si="438"/>
        <v>6718.1359840046889</v>
      </c>
      <c r="J779" s="36">
        <f t="shared" si="438"/>
        <v>6356.2808719119112</v>
      </c>
      <c r="K779" s="36" t="s">
        <v>131</v>
      </c>
      <c r="L779" s="34" t="s">
        <v>131</v>
      </c>
    </row>
    <row r="780" spans="1:12" s="81" customFormat="1" ht="20.100000000000001" customHeight="1" thickBot="1" x14ac:dyDescent="0.3">
      <c r="A780" s="311" t="s">
        <v>1036</v>
      </c>
      <c r="B780" s="312"/>
      <c r="C780" s="312"/>
      <c r="D780" s="312"/>
      <c r="E780" s="312"/>
      <c r="F780" s="312"/>
      <c r="G780" s="312"/>
      <c r="H780" s="312"/>
      <c r="I780" s="312"/>
      <c r="J780" s="312"/>
      <c r="K780" s="312"/>
      <c r="L780" s="313"/>
    </row>
    <row r="781" spans="1:12" s="73" customFormat="1" ht="20.100000000000001" hidden="1" customHeight="1" x14ac:dyDescent="0.25">
      <c r="A781" s="341" t="s">
        <v>1037</v>
      </c>
      <c r="B781" s="321" t="s">
        <v>216</v>
      </c>
      <c r="C781" s="82">
        <v>5360.0098999050597</v>
      </c>
      <c r="D781" s="23">
        <v>7114.4897976923085</v>
      </c>
      <c r="E781" s="23">
        <v>772.07926108775268</v>
      </c>
      <c r="F781" s="23">
        <v>406.58311623491124</v>
      </c>
      <c r="G781" s="23" t="s">
        <v>131</v>
      </c>
      <c r="H781" s="23">
        <v>557.34129689320196</v>
      </c>
      <c r="I781" s="23">
        <v>1422.7766765224469</v>
      </c>
      <c r="J781" s="23">
        <v>3063.2543518242242</v>
      </c>
      <c r="K781" s="83" t="s">
        <v>131</v>
      </c>
      <c r="L781" s="21" t="s">
        <v>131</v>
      </c>
    </row>
    <row r="782" spans="1:12" s="73" customFormat="1" ht="20.100000000000001" customHeight="1" x14ac:dyDescent="0.25">
      <c r="A782" s="341"/>
      <c r="B782" s="322"/>
      <c r="C782" s="14">
        <f>C781/12.79*19.53*1.039</f>
        <v>8503.7960973890949</v>
      </c>
      <c r="D782" s="16">
        <f t="shared" ref="D782:J782" si="439">D781/12.79*19.53*1.039</f>
        <v>11287.324409158648</v>
      </c>
      <c r="E782" s="16">
        <f t="shared" si="439"/>
        <v>1224.9239702765067</v>
      </c>
      <c r="F782" s="16">
        <f t="shared" si="439"/>
        <v>645.05476326899623</v>
      </c>
      <c r="G782" s="16" t="s">
        <v>131</v>
      </c>
      <c r="H782" s="16">
        <f t="shared" si="439"/>
        <v>884.23656559256301</v>
      </c>
      <c r="I782" s="16">
        <f t="shared" si="439"/>
        <v>2257.2724631501364</v>
      </c>
      <c r="J782" s="16">
        <f t="shared" si="439"/>
        <v>4859.9332629617711</v>
      </c>
      <c r="K782" s="83" t="s">
        <v>131</v>
      </c>
      <c r="L782" s="21" t="s">
        <v>131</v>
      </c>
    </row>
    <row r="783" spans="1:12" s="73" customFormat="1" ht="20.100000000000001" customHeight="1" x14ac:dyDescent="0.25">
      <c r="A783" s="341"/>
      <c r="B783" s="322"/>
      <c r="C783" s="14">
        <f>C782*0.0214</f>
        <v>181.98123648412661</v>
      </c>
      <c r="D783" s="16">
        <f t="shared" ref="D783:J783" si="440">D782*0.0214</f>
        <v>241.54874235599505</v>
      </c>
      <c r="E783" s="16">
        <f t="shared" si="440"/>
        <v>26.213372963917241</v>
      </c>
      <c r="F783" s="16">
        <f t="shared" si="440"/>
        <v>13.804171933956518</v>
      </c>
      <c r="G783" s="16" t="s">
        <v>131</v>
      </c>
      <c r="H783" s="16">
        <f t="shared" si="440"/>
        <v>18.922662503680847</v>
      </c>
      <c r="I783" s="16">
        <f t="shared" si="440"/>
        <v>48.305630711412917</v>
      </c>
      <c r="J783" s="16">
        <f t="shared" si="440"/>
        <v>104.0025718273819</v>
      </c>
      <c r="K783" s="83" t="s">
        <v>131</v>
      </c>
      <c r="L783" s="21" t="s">
        <v>131</v>
      </c>
    </row>
    <row r="784" spans="1:12" s="73" customFormat="1" ht="20.100000000000001" hidden="1" customHeight="1" x14ac:dyDescent="0.25">
      <c r="A784" s="341"/>
      <c r="B784" s="322"/>
      <c r="C784" s="14">
        <f>10878/763.2</f>
        <v>14.25314465408805</v>
      </c>
      <c r="D784" s="16">
        <f>9224/400</f>
        <v>23.06</v>
      </c>
      <c r="E784" s="16">
        <f>6575/763.2</f>
        <v>8.6150419287211744</v>
      </c>
      <c r="F784" s="16">
        <f>7890/2/763.2</f>
        <v>5.1690251572327037</v>
      </c>
      <c r="G784" s="16" t="s">
        <v>131</v>
      </c>
      <c r="H784" s="16">
        <f>F784</f>
        <v>5.1690251572327037</v>
      </c>
      <c r="I784" s="16">
        <f>9600/763.2</f>
        <v>12.578616352201257</v>
      </c>
      <c r="J784" s="16">
        <f>5616/763.2</f>
        <v>7.3584905660377355</v>
      </c>
      <c r="K784" s="83" t="s">
        <v>131</v>
      </c>
      <c r="L784" s="21" t="s">
        <v>131</v>
      </c>
    </row>
    <row r="785" spans="1:12" s="73" customFormat="1" ht="20.100000000000001" hidden="1" customHeight="1" x14ac:dyDescent="0.25">
      <c r="A785" s="341"/>
      <c r="B785" s="322"/>
      <c r="C785" s="39">
        <f>(1/737.3)*86669.4*1.2*P4</f>
        <v>174.71611137278975</v>
      </c>
      <c r="D785" s="10">
        <f>(1/737.3)*73669.5*1.2*P4</f>
        <v>148.50972277156339</v>
      </c>
      <c r="E785" s="10">
        <f>(1/737.3)*57779.94*1.2*P4</f>
        <v>116.4780929849879</v>
      </c>
      <c r="F785" s="22">
        <f>(1/737.3)*43334.7*1.2*P4</f>
        <v>87.358055686394877</v>
      </c>
      <c r="G785" s="22" t="s">
        <v>131</v>
      </c>
      <c r="H785" s="22">
        <f>(1/737.3)*43334.7*1.2*P4</f>
        <v>87.358055686394877</v>
      </c>
      <c r="I785" s="22">
        <f>(1/737.3)*57057.78*1.2*P4</f>
        <v>115.02229674099665</v>
      </c>
      <c r="J785" s="22">
        <f>(1/737.3)*70779.84*1.2*P4</f>
        <v>142.68448158621425</v>
      </c>
      <c r="K785" s="83" t="s">
        <v>131</v>
      </c>
      <c r="L785" s="21" t="s">
        <v>131</v>
      </c>
    </row>
    <row r="786" spans="1:12" s="73" customFormat="1" ht="20.100000000000001" customHeight="1" thickBot="1" x14ac:dyDescent="0.3">
      <c r="A786" s="341"/>
      <c r="B786" s="323"/>
      <c r="C786" s="91">
        <f>C785+C784</f>
        <v>188.96925602687782</v>
      </c>
      <c r="D786" s="9">
        <f t="shared" ref="D786:J786" si="441">D785+D784</f>
        <v>171.56972277156339</v>
      </c>
      <c r="E786" s="9">
        <f t="shared" si="441"/>
        <v>125.09313491370906</v>
      </c>
      <c r="F786" s="9">
        <f t="shared" si="441"/>
        <v>92.527080843627587</v>
      </c>
      <c r="G786" s="9" t="s">
        <v>131</v>
      </c>
      <c r="H786" s="9">
        <f t="shared" si="441"/>
        <v>92.527080843627587</v>
      </c>
      <c r="I786" s="9">
        <f t="shared" si="441"/>
        <v>127.6009130931979</v>
      </c>
      <c r="J786" s="9">
        <f t="shared" si="441"/>
        <v>150.04297215225199</v>
      </c>
      <c r="K786" s="9" t="s">
        <v>131</v>
      </c>
      <c r="L786" s="30" t="s">
        <v>131</v>
      </c>
    </row>
    <row r="787" spans="1:12" s="73" customFormat="1" ht="20.100000000000001" customHeight="1" thickBot="1" x14ac:dyDescent="0.3">
      <c r="A787" s="328"/>
      <c r="B787" s="270" t="s">
        <v>212</v>
      </c>
      <c r="C787" s="36">
        <f>SUM(C782:C785)</f>
        <v>8874.7465899000999</v>
      </c>
      <c r="D787" s="36">
        <f t="shared" ref="D787:J787" si="442">SUM(D782:D785)</f>
        <v>11700.442874286206</v>
      </c>
      <c r="E787" s="36">
        <f t="shared" si="442"/>
        <v>1376.2304781541329</v>
      </c>
      <c r="F787" s="36">
        <f t="shared" si="442"/>
        <v>751.38601604658027</v>
      </c>
      <c r="G787" s="36" t="s">
        <v>131</v>
      </c>
      <c r="H787" s="36">
        <f t="shared" si="442"/>
        <v>995.68630893987142</v>
      </c>
      <c r="I787" s="36">
        <f t="shared" si="442"/>
        <v>2433.1790069547474</v>
      </c>
      <c r="J787" s="36">
        <f t="shared" si="442"/>
        <v>5113.9788069414044</v>
      </c>
      <c r="K787" s="36" t="s">
        <v>131</v>
      </c>
      <c r="L787" s="34" t="s">
        <v>131</v>
      </c>
    </row>
    <row r="788" spans="1:12" s="53" customFormat="1" ht="15" customHeight="1" thickBot="1" x14ac:dyDescent="0.3">
      <c r="A788" s="311" t="s">
        <v>1038</v>
      </c>
      <c r="B788" s="312"/>
      <c r="C788" s="312"/>
      <c r="D788" s="312"/>
      <c r="E788" s="312"/>
      <c r="F788" s="312"/>
      <c r="G788" s="312"/>
      <c r="H788" s="312"/>
      <c r="I788" s="312"/>
      <c r="J788" s="312"/>
      <c r="K788" s="312"/>
      <c r="L788" s="313"/>
    </row>
    <row r="789" spans="1:12" s="73" customFormat="1" ht="20.100000000000001" hidden="1" customHeight="1" thickBot="1" x14ac:dyDescent="0.3">
      <c r="A789" s="327" t="s">
        <v>1039</v>
      </c>
      <c r="B789" s="321" t="s">
        <v>177</v>
      </c>
      <c r="C789" s="9">
        <v>5017.5283931398408</v>
      </c>
      <c r="D789" s="9">
        <v>6402.6579720000009</v>
      </c>
      <c r="E789" s="9">
        <v>826.62468997361475</v>
      </c>
      <c r="F789" s="9">
        <v>472.03045822339493</v>
      </c>
      <c r="G789" s="9">
        <v>1157.5205294635005</v>
      </c>
      <c r="H789" s="9">
        <v>508.9919973614775</v>
      </c>
      <c r="I789" s="9">
        <v>2753.9857832014068</v>
      </c>
      <c r="J789" s="9">
        <v>2604.6665452946349</v>
      </c>
      <c r="K789" s="7" t="s">
        <v>131</v>
      </c>
      <c r="L789" s="21" t="s">
        <v>131</v>
      </c>
    </row>
    <row r="790" spans="1:12" s="73" customFormat="1" ht="20.100000000000001" customHeight="1" x14ac:dyDescent="0.25">
      <c r="A790" s="327"/>
      <c r="B790" s="322"/>
      <c r="C790" s="10">
        <f>C789/14.06*19.53*1.039</f>
        <v>7241.3961855778025</v>
      </c>
      <c r="D790" s="10">
        <f t="shared" ref="D790:J790" si="443">D789/14.06*19.53*1.039</f>
        <v>9240.4425811303863</v>
      </c>
      <c r="E790" s="10">
        <f t="shared" si="443"/>
        <v>1193.0010969272332</v>
      </c>
      <c r="F790" s="10">
        <f t="shared" si="443"/>
        <v>681.24369048491576</v>
      </c>
      <c r="G790" s="10">
        <f t="shared" si="443"/>
        <v>1670.5565150852506</v>
      </c>
      <c r="H790" s="10">
        <f t="shared" si="443"/>
        <v>734.58731458748025</v>
      </c>
      <c r="I790" s="10">
        <f t="shared" si="443"/>
        <v>3974.6067352357391</v>
      </c>
      <c r="J790" s="10">
        <f t="shared" si="443"/>
        <v>3759.1062586883918</v>
      </c>
      <c r="K790" s="10" t="s">
        <v>131</v>
      </c>
      <c r="L790" s="21" t="s">
        <v>131</v>
      </c>
    </row>
    <row r="791" spans="1:12" s="73" customFormat="1" ht="20.100000000000001" customHeight="1" x14ac:dyDescent="0.25">
      <c r="A791" s="327"/>
      <c r="B791" s="322"/>
      <c r="C791" s="16">
        <f>C790*0.0214</f>
        <v>154.96587837136497</v>
      </c>
      <c r="D791" s="16">
        <f t="shared" ref="D791:J791" si="444">D790*0.0214</f>
        <v>197.74547123619027</v>
      </c>
      <c r="E791" s="16">
        <f t="shared" si="444"/>
        <v>25.530223474242788</v>
      </c>
      <c r="F791" s="16">
        <f t="shared" si="444"/>
        <v>14.578614976377196</v>
      </c>
      <c r="G791" s="16">
        <f t="shared" si="444"/>
        <v>35.749909422824359</v>
      </c>
      <c r="H791" s="16">
        <f t="shared" si="444"/>
        <v>15.720168532172076</v>
      </c>
      <c r="I791" s="16">
        <f t="shared" si="444"/>
        <v>85.056584134044812</v>
      </c>
      <c r="J791" s="16">
        <f t="shared" si="444"/>
        <v>80.444873935931582</v>
      </c>
      <c r="K791" s="16" t="s">
        <v>131</v>
      </c>
      <c r="L791" s="15" t="s">
        <v>131</v>
      </c>
    </row>
    <row r="792" spans="1:12" s="73" customFormat="1" ht="20.100000000000001" hidden="1" customHeight="1" x14ac:dyDescent="0.25">
      <c r="A792" s="327"/>
      <c r="B792" s="322"/>
      <c r="C792" s="16">
        <f>8365/628.2</f>
        <v>13.315822986310092</v>
      </c>
      <c r="D792" s="16">
        <f>7003/330</f>
        <v>21.221212121212123</v>
      </c>
      <c r="E792" s="16">
        <f>4822/628.2</f>
        <v>7.675899395097102</v>
      </c>
      <c r="F792" s="16">
        <f>5905/2/628.2</f>
        <v>4.6999363260108247</v>
      </c>
      <c r="G792" s="16">
        <f>5624/628.2</f>
        <v>8.9525628780643096</v>
      </c>
      <c r="H792" s="16">
        <f>F792</f>
        <v>4.6999363260108247</v>
      </c>
      <c r="I792" s="16">
        <f>7313/628.2</f>
        <v>11.641197070996498</v>
      </c>
      <c r="J792" s="16">
        <f>4033/628.2</f>
        <v>6.419929958611907</v>
      </c>
      <c r="K792" s="16" t="s">
        <v>131</v>
      </c>
      <c r="L792" s="15" t="s">
        <v>131</v>
      </c>
    </row>
    <row r="793" spans="1:12" s="73" customFormat="1" ht="20.100000000000001" hidden="1" customHeight="1" thickBot="1" x14ac:dyDescent="0.3">
      <c r="A793" s="327"/>
      <c r="B793" s="322"/>
      <c r="C793" s="18">
        <f>(1/682.2)*84902.76*1.2*P4</f>
        <v>184.97860177253156</v>
      </c>
      <c r="D793" s="18">
        <f>(1/682.2)*72167.04*1.2*P4</f>
        <v>157.23114482099706</v>
      </c>
      <c r="E793" s="18">
        <f>(1/682.2)*56601.84*1.2*P4</f>
        <v>123.31906784835435</v>
      </c>
      <c r="F793" s="18">
        <f>(1/682.2)*42451.38*1.2*P4</f>
        <v>92.489300886265781</v>
      </c>
      <c r="G793" s="19">
        <f>(1/682.2)*42451.38*1.2*P4</f>
        <v>92.489300886265781</v>
      </c>
      <c r="H793" s="19">
        <f>(1/682.2)*42451.38*1.2*P4</f>
        <v>92.489300886265781</v>
      </c>
      <c r="I793" s="19">
        <f>(1/682.2)*55893.96*1.2*P4</f>
        <v>121.77680170031938</v>
      </c>
      <c r="J793" s="19">
        <f>(1/682.2)*69337.56*1.2*P4</f>
        <v>151.06652479988887</v>
      </c>
      <c r="K793" s="18" t="s">
        <v>131</v>
      </c>
      <c r="L793" s="20" t="s">
        <v>131</v>
      </c>
    </row>
    <row r="794" spans="1:12" s="73" customFormat="1" ht="20.100000000000001" customHeight="1" thickBot="1" x14ac:dyDescent="0.3">
      <c r="A794" s="327"/>
      <c r="B794" s="323"/>
      <c r="C794" s="18">
        <f>C793+C792</f>
        <v>198.29442475884164</v>
      </c>
      <c r="D794" s="18">
        <f t="shared" ref="D794:J794" si="445">D793+D792</f>
        <v>178.45235694220918</v>
      </c>
      <c r="E794" s="18">
        <f t="shared" si="445"/>
        <v>130.99496724345144</v>
      </c>
      <c r="F794" s="18">
        <f t="shared" si="445"/>
        <v>97.189237212276609</v>
      </c>
      <c r="G794" s="18">
        <f t="shared" si="445"/>
        <v>101.44186376433009</v>
      </c>
      <c r="H794" s="18">
        <f t="shared" si="445"/>
        <v>97.189237212276609</v>
      </c>
      <c r="I794" s="18">
        <f t="shared" si="445"/>
        <v>133.41799877131587</v>
      </c>
      <c r="J794" s="18">
        <f t="shared" si="445"/>
        <v>157.48645475850077</v>
      </c>
      <c r="K794" s="18" t="s">
        <v>131</v>
      </c>
      <c r="L794" s="34" t="s">
        <v>131</v>
      </c>
    </row>
    <row r="795" spans="1:12" s="73" customFormat="1" ht="20.100000000000001" customHeight="1" thickBot="1" x14ac:dyDescent="0.3">
      <c r="A795" s="328"/>
      <c r="B795" s="259" t="s">
        <v>212</v>
      </c>
      <c r="C795" s="36">
        <f>SUM(C790:C793)</f>
        <v>7594.6564887080094</v>
      </c>
      <c r="D795" s="36">
        <f t="shared" ref="D795:J795" si="446">SUM(D789:D793)</f>
        <v>16019.298381308787</v>
      </c>
      <c r="E795" s="36">
        <f t="shared" si="446"/>
        <v>2176.1509776185421</v>
      </c>
      <c r="F795" s="36">
        <f t="shared" si="446"/>
        <v>1265.0420008969645</v>
      </c>
      <c r="G795" s="36">
        <f t="shared" si="446"/>
        <v>2965.2688177359055</v>
      </c>
      <c r="H795" s="36">
        <f t="shared" si="446"/>
        <v>1356.4887176934062</v>
      </c>
      <c r="I795" s="36">
        <f t="shared" si="446"/>
        <v>6947.0671013425072</v>
      </c>
      <c r="J795" s="36">
        <f t="shared" si="446"/>
        <v>6601.7041326774588</v>
      </c>
      <c r="K795" s="36" t="s">
        <v>131</v>
      </c>
      <c r="L795" s="37" t="s">
        <v>131</v>
      </c>
    </row>
    <row r="796" spans="1:12" s="81" customFormat="1" ht="20.100000000000001" hidden="1" customHeight="1" thickBot="1" x14ac:dyDescent="0.3">
      <c r="A796" s="327" t="s">
        <v>1040</v>
      </c>
      <c r="B796" s="321" t="s">
        <v>84</v>
      </c>
      <c r="C796" s="9">
        <v>4838.0779052422167</v>
      </c>
      <c r="D796" s="9">
        <v>4492.2959235668795</v>
      </c>
      <c r="E796" s="9">
        <v>779.34955307357052</v>
      </c>
      <c r="F796" s="9">
        <v>446.0476376404124</v>
      </c>
      <c r="G796" s="9">
        <v>1965.4563203507867</v>
      </c>
      <c r="H796" s="9">
        <v>341.81400549973512</v>
      </c>
      <c r="I796" s="9">
        <v>3575.3966966726857</v>
      </c>
      <c r="J796" s="9">
        <v>3403.8288753244829</v>
      </c>
      <c r="K796" s="9">
        <v>730.55832047869967</v>
      </c>
      <c r="L796" s="20" t="s">
        <v>131</v>
      </c>
    </row>
    <row r="797" spans="1:12" s="81" customFormat="1" ht="20.100000000000001" customHeight="1" x14ac:dyDescent="0.25">
      <c r="A797" s="327"/>
      <c r="B797" s="322"/>
      <c r="C797" s="10">
        <f>C796/14.06*19.53*1.039</f>
        <v>6982.4096932764105</v>
      </c>
      <c r="D797" s="10">
        <f t="shared" ref="D797:K797" si="447">D796/14.06*19.53*1.039</f>
        <v>6483.3703003815326</v>
      </c>
      <c r="E797" s="10">
        <f t="shared" si="447"/>
        <v>1124.7726846099843</v>
      </c>
      <c r="F797" s="10">
        <f t="shared" si="447"/>
        <v>643.74477007673022</v>
      </c>
      <c r="G797" s="10">
        <f t="shared" si="447"/>
        <v>2836.5854233266318</v>
      </c>
      <c r="H797" s="10">
        <f t="shared" si="447"/>
        <v>493.31273122182148</v>
      </c>
      <c r="I797" s="10">
        <f t="shared" si="447"/>
        <v>5160.083206825906</v>
      </c>
      <c r="J797" s="10">
        <f t="shared" si="447"/>
        <v>4912.4731347479055</v>
      </c>
      <c r="K797" s="10">
        <f t="shared" si="447"/>
        <v>1054.356213009105</v>
      </c>
      <c r="L797" s="26" t="s">
        <v>131</v>
      </c>
    </row>
    <row r="798" spans="1:12" s="81" customFormat="1" ht="20.100000000000001" customHeight="1" x14ac:dyDescent="0.25">
      <c r="A798" s="327"/>
      <c r="B798" s="322"/>
      <c r="C798" s="16">
        <f>C797*0.0214</f>
        <v>149.42356743611518</v>
      </c>
      <c r="D798" s="16">
        <f t="shared" ref="D798:K798" si="448">D797*0.0214</f>
        <v>138.74412442816478</v>
      </c>
      <c r="E798" s="16">
        <f t="shared" si="448"/>
        <v>24.070135450653662</v>
      </c>
      <c r="F798" s="16">
        <f t="shared" si="448"/>
        <v>13.776138079642026</v>
      </c>
      <c r="G798" s="16">
        <f t="shared" si="448"/>
        <v>60.702928059189915</v>
      </c>
      <c r="H798" s="16">
        <f t="shared" si="448"/>
        <v>10.556892448146979</v>
      </c>
      <c r="I798" s="16">
        <f t="shared" si="448"/>
        <v>110.42578062607438</v>
      </c>
      <c r="J798" s="16">
        <f t="shared" si="448"/>
        <v>105.12692508360517</v>
      </c>
      <c r="K798" s="16">
        <f t="shared" si="448"/>
        <v>22.563222958394846</v>
      </c>
      <c r="L798" s="15" t="s">
        <v>131</v>
      </c>
    </row>
    <row r="799" spans="1:12" s="81" customFormat="1" ht="20.100000000000001" hidden="1" customHeight="1" x14ac:dyDescent="0.25">
      <c r="A799" s="327"/>
      <c r="B799" s="322"/>
      <c r="C799" s="16">
        <f>7725/387.7</f>
        <v>19.925199896827444</v>
      </c>
      <c r="D799" s="16">
        <f>6885/194</f>
        <v>35.489690721649481</v>
      </c>
      <c r="E799" s="16">
        <f>5539/387.7</f>
        <v>14.286819705958216</v>
      </c>
      <c r="F799" s="16">
        <f>5686/2/387.7</f>
        <v>7.3329894248130003</v>
      </c>
      <c r="G799" s="16">
        <f>5512/387.7</f>
        <v>14.217178230590664</v>
      </c>
      <c r="H799" s="16">
        <f>F799</f>
        <v>7.3329894248130003</v>
      </c>
      <c r="I799" s="16">
        <f>6034/387.7</f>
        <v>15.563580087696673</v>
      </c>
      <c r="J799" s="16">
        <f>5052/387.7</f>
        <v>13.030693835439774</v>
      </c>
      <c r="K799" s="16">
        <f>J799</f>
        <v>13.030693835439774</v>
      </c>
      <c r="L799" s="15" t="s">
        <v>131</v>
      </c>
    </row>
    <row r="800" spans="1:12" s="81" customFormat="1" ht="20.100000000000001" hidden="1" customHeight="1" thickBot="1" x14ac:dyDescent="0.3">
      <c r="A800" s="327"/>
      <c r="B800" s="322"/>
      <c r="C800" s="17">
        <f>(1/387.7)*81008.4/2*1.2*P4</f>
        <v>155.28004806809386</v>
      </c>
      <c r="D800" s="18">
        <f>(1/250)*28352.94*1.2*P4</f>
        <v>168.56580898079997</v>
      </c>
      <c r="E800" s="18">
        <f>(1/387.7)*54005.94/2*1.2*P4</f>
        <v>103.52068377060397</v>
      </c>
      <c r="F800" s="67">
        <f>(1/387.7)*40504.2/2*1.2*P4</f>
        <v>77.640024034046931</v>
      </c>
      <c r="G800" s="19">
        <f>(1/387.7)*40504.2/2*1.2*P4</f>
        <v>77.640024034046931</v>
      </c>
      <c r="H800" s="19">
        <f>(1/387.7)*40504.2/2*1.2*P4</f>
        <v>77.640024034046931</v>
      </c>
      <c r="I800" s="19">
        <f>(1/387.7)*53330.7/2*1.2*P4</f>
        <v>102.22635750743247</v>
      </c>
      <c r="J800" s="68">
        <f>(1/387.7)*66157.2/2*1.2*P4</f>
        <v>126.81269098081802</v>
      </c>
      <c r="K800" s="67">
        <f>(1/387.7)*28352.94/2*1.2*P4</f>
        <v>54.34801682383285</v>
      </c>
      <c r="L800" s="20" t="s">
        <v>131</v>
      </c>
    </row>
    <row r="801" spans="1:12" s="81" customFormat="1" ht="20.100000000000001" customHeight="1" thickBot="1" x14ac:dyDescent="0.3">
      <c r="A801" s="327"/>
      <c r="B801" s="323"/>
      <c r="C801" s="17">
        <f>C800+C799</f>
        <v>175.20524796492131</v>
      </c>
      <c r="D801" s="17">
        <f t="shared" ref="D801:K801" si="449">D800+D799</f>
        <v>204.05549970244945</v>
      </c>
      <c r="E801" s="17">
        <f t="shared" si="449"/>
        <v>117.80750347656218</v>
      </c>
      <c r="F801" s="17">
        <f t="shared" si="449"/>
        <v>84.973013458859924</v>
      </c>
      <c r="G801" s="17">
        <f t="shared" si="449"/>
        <v>91.857202264637593</v>
      </c>
      <c r="H801" s="17">
        <f t="shared" si="449"/>
        <v>84.973013458859924</v>
      </c>
      <c r="I801" s="17">
        <f t="shared" si="449"/>
        <v>117.78993759512915</v>
      </c>
      <c r="J801" s="17">
        <f t="shared" si="449"/>
        <v>139.84338481625778</v>
      </c>
      <c r="K801" s="17">
        <f t="shared" si="449"/>
        <v>67.378710659272627</v>
      </c>
      <c r="L801" s="84" t="s">
        <v>131</v>
      </c>
    </row>
    <row r="802" spans="1:12" s="81" customFormat="1" ht="20.100000000000001" customHeight="1" thickBot="1" x14ac:dyDescent="0.3">
      <c r="A802" s="328"/>
      <c r="B802" s="265" t="s">
        <v>212</v>
      </c>
      <c r="C802" s="268">
        <f>SUM(C797:C800)</f>
        <v>7307.0385086774468</v>
      </c>
      <c r="D802" s="268">
        <f t="shared" ref="D802:K802" si="450">SUM(D797:D800)</f>
        <v>6826.1699245121472</v>
      </c>
      <c r="E802" s="268">
        <f t="shared" si="450"/>
        <v>1266.6503235371999</v>
      </c>
      <c r="F802" s="268">
        <f t="shared" si="450"/>
        <v>742.49392161523224</v>
      </c>
      <c r="G802" s="268">
        <f t="shared" si="450"/>
        <v>2989.1455536504595</v>
      </c>
      <c r="H802" s="268">
        <f t="shared" si="450"/>
        <v>588.84263712882841</v>
      </c>
      <c r="I802" s="268">
        <f t="shared" si="450"/>
        <v>5388.2989250471101</v>
      </c>
      <c r="J802" s="268">
        <f t="shared" si="450"/>
        <v>5157.443444647768</v>
      </c>
      <c r="K802" s="268">
        <f t="shared" si="450"/>
        <v>1144.2981466267724</v>
      </c>
      <c r="L802" s="84" t="s">
        <v>131</v>
      </c>
    </row>
    <row r="803" spans="1:12" s="53" customFormat="1" ht="15" customHeight="1" thickBot="1" x14ac:dyDescent="0.3">
      <c r="A803" s="311" t="s">
        <v>1041</v>
      </c>
      <c r="B803" s="312"/>
      <c r="C803" s="312"/>
      <c r="D803" s="312"/>
      <c r="E803" s="312"/>
      <c r="F803" s="312"/>
      <c r="G803" s="312"/>
      <c r="H803" s="312"/>
      <c r="I803" s="312"/>
      <c r="J803" s="312"/>
      <c r="K803" s="312"/>
      <c r="L803" s="313"/>
    </row>
    <row r="804" spans="1:12" s="53" customFormat="1" ht="20.100000000000001" hidden="1" customHeight="1" thickBot="1" x14ac:dyDescent="0.3">
      <c r="A804" s="327" t="s">
        <v>1042</v>
      </c>
      <c r="B804" s="321" t="s">
        <v>210</v>
      </c>
      <c r="C804" s="9">
        <v>5017.5283931398408</v>
      </c>
      <c r="D804" s="9">
        <v>6402.6579720000009</v>
      </c>
      <c r="E804" s="9">
        <v>826.62468997361475</v>
      </c>
      <c r="F804" s="9">
        <v>472.03045822339493</v>
      </c>
      <c r="G804" s="9">
        <v>1157.5205294635005</v>
      </c>
      <c r="H804" s="9">
        <v>508.9919973614775</v>
      </c>
      <c r="I804" s="9">
        <v>2734.1444956024625</v>
      </c>
      <c r="J804" s="9">
        <v>2604.6703131046611</v>
      </c>
      <c r="K804" s="9" t="s">
        <v>131</v>
      </c>
      <c r="L804" s="21" t="s">
        <v>131</v>
      </c>
    </row>
    <row r="805" spans="1:12" s="53" customFormat="1" ht="20.100000000000001" customHeight="1" x14ac:dyDescent="0.25">
      <c r="A805" s="327"/>
      <c r="B805" s="322"/>
      <c r="C805" s="10">
        <f>C804/14.06*19.53*1.039</f>
        <v>7241.3961855778025</v>
      </c>
      <c r="D805" s="10">
        <f t="shared" ref="D805:J805" si="451">D804/14.06*19.53*1.039</f>
        <v>9240.4425811303863</v>
      </c>
      <c r="E805" s="10">
        <f t="shared" si="451"/>
        <v>1193.0010969272332</v>
      </c>
      <c r="F805" s="10">
        <f t="shared" si="451"/>
        <v>681.24369048491576</v>
      </c>
      <c r="G805" s="10">
        <f t="shared" si="451"/>
        <v>1670.5565150852506</v>
      </c>
      <c r="H805" s="10">
        <f t="shared" si="451"/>
        <v>734.58731458748025</v>
      </c>
      <c r="I805" s="10">
        <f t="shared" si="451"/>
        <v>3945.9713966629884</v>
      </c>
      <c r="J805" s="10">
        <f t="shared" si="451"/>
        <v>3759.1116964663197</v>
      </c>
      <c r="K805" s="10" t="s">
        <v>131</v>
      </c>
      <c r="L805" s="21" t="s">
        <v>131</v>
      </c>
    </row>
    <row r="806" spans="1:12" s="53" customFormat="1" ht="20.100000000000001" customHeight="1" x14ac:dyDescent="0.25">
      <c r="A806" s="327"/>
      <c r="B806" s="322"/>
      <c r="C806" s="16">
        <f>C805*0.0214</f>
        <v>154.96587837136497</v>
      </c>
      <c r="D806" s="16">
        <f t="shared" ref="D806:J806" si="452">D805*0.0214</f>
        <v>197.74547123619027</v>
      </c>
      <c r="E806" s="16">
        <f t="shared" si="452"/>
        <v>25.530223474242788</v>
      </c>
      <c r="F806" s="16">
        <f t="shared" si="452"/>
        <v>14.578614976377196</v>
      </c>
      <c r="G806" s="16">
        <f t="shared" si="452"/>
        <v>35.749909422824359</v>
      </c>
      <c r="H806" s="16">
        <f t="shared" si="452"/>
        <v>15.720168532172076</v>
      </c>
      <c r="I806" s="16">
        <f t="shared" si="452"/>
        <v>84.443787888587948</v>
      </c>
      <c r="J806" s="16">
        <f t="shared" si="452"/>
        <v>80.444990304379232</v>
      </c>
      <c r="K806" s="16" t="s">
        <v>131</v>
      </c>
      <c r="L806" s="15" t="s">
        <v>131</v>
      </c>
    </row>
    <row r="807" spans="1:12" s="53" customFormat="1" ht="20.100000000000001" hidden="1" customHeight="1" x14ac:dyDescent="0.25">
      <c r="A807" s="327"/>
      <c r="B807" s="322"/>
      <c r="C807" s="16">
        <f>10020/587.4</f>
        <v>17.058222676200206</v>
      </c>
      <c r="D807" s="16">
        <f>8747/308</f>
        <v>28.399350649350648</v>
      </c>
      <c r="E807" s="16">
        <f>6710/587.4</f>
        <v>11.423220973782772</v>
      </c>
      <c r="F807" s="16">
        <f>7721/2/587.4</f>
        <v>6.5721824991487914</v>
      </c>
      <c r="G807" s="16">
        <f>7458/587.4</f>
        <v>12.696629213483147</v>
      </c>
      <c r="H807" s="16">
        <f>F807</f>
        <v>6.5721824991487914</v>
      </c>
      <c r="I807" s="16">
        <f>9037/587.4</f>
        <v>15.38474633980252</v>
      </c>
      <c r="J807" s="16">
        <f>5972/587.4</f>
        <v>10.166836908409943</v>
      </c>
      <c r="K807" s="16" t="s">
        <v>131</v>
      </c>
      <c r="L807" s="15" t="s">
        <v>131</v>
      </c>
    </row>
    <row r="808" spans="1:12" s="53" customFormat="1" ht="20.100000000000001" hidden="1" customHeight="1" thickBot="1" x14ac:dyDescent="0.3">
      <c r="A808" s="327"/>
      <c r="B808" s="322"/>
      <c r="C808" s="18">
        <f>(1/682.2)*84902.76*1.2*P4</f>
        <v>184.97860177253156</v>
      </c>
      <c r="D808" s="18">
        <f>(1/682.2)*72167.04*1.2</f>
        <v>126.94290237467017</v>
      </c>
      <c r="E808" s="18">
        <f>(1/682.2)*56601.84*1.2</f>
        <v>99.563482849604199</v>
      </c>
      <c r="F808" s="18">
        <f>(1/682.2)*42451.38*1.2*P4</f>
        <v>92.489300886265781</v>
      </c>
      <c r="G808" s="19">
        <f>(1/682.2)*42451.38*1.2*P4</f>
        <v>92.489300886265781</v>
      </c>
      <c r="H808" s="19">
        <f>(1/682.2)*42451.38*1.2*P4</f>
        <v>92.489300886265781</v>
      </c>
      <c r="I808" s="19">
        <f>(1/682.2)*55893.96*1.2*P4</f>
        <v>121.77680170031938</v>
      </c>
      <c r="J808" s="19">
        <f>(1/682.2)*69337.56*1.2*P4</f>
        <v>151.06652479988887</v>
      </c>
      <c r="K808" s="18" t="s">
        <v>131</v>
      </c>
      <c r="L808" s="20" t="s">
        <v>131</v>
      </c>
    </row>
    <row r="809" spans="1:12" s="53" customFormat="1" ht="20.100000000000001" customHeight="1" thickBot="1" x14ac:dyDescent="0.3">
      <c r="A809" s="327"/>
      <c r="B809" s="323"/>
      <c r="C809" s="18">
        <f>C808+C807</f>
        <v>202.03682444873178</v>
      </c>
      <c r="D809" s="18">
        <f t="shared" ref="D809:J809" si="453">D808+D807</f>
        <v>155.34225302402081</v>
      </c>
      <c r="E809" s="18">
        <f t="shared" si="453"/>
        <v>110.98670382338697</v>
      </c>
      <c r="F809" s="18">
        <f t="shared" si="453"/>
        <v>99.061483385414576</v>
      </c>
      <c r="G809" s="18">
        <f t="shared" si="453"/>
        <v>105.18593009974893</v>
      </c>
      <c r="H809" s="18">
        <f t="shared" si="453"/>
        <v>99.061483385414576</v>
      </c>
      <c r="I809" s="18">
        <f t="shared" si="453"/>
        <v>137.16154804012191</v>
      </c>
      <c r="J809" s="18">
        <f t="shared" si="453"/>
        <v>161.23336170829882</v>
      </c>
      <c r="K809" s="18" t="s">
        <v>131</v>
      </c>
      <c r="L809" s="34" t="s">
        <v>131</v>
      </c>
    </row>
    <row r="810" spans="1:12" s="53" customFormat="1" ht="20.100000000000001" customHeight="1" thickBot="1" x14ac:dyDescent="0.3">
      <c r="A810" s="328"/>
      <c r="B810" s="259" t="s">
        <v>212</v>
      </c>
      <c r="C810" s="36">
        <f>SUM(C805:C808)</f>
        <v>7598.3988883978991</v>
      </c>
      <c r="D810" s="36">
        <f t="shared" ref="D810:J810" si="454">SUM(D805:D808)</f>
        <v>9593.5303053905973</v>
      </c>
      <c r="E810" s="36">
        <f t="shared" si="454"/>
        <v>1329.518024224863</v>
      </c>
      <c r="F810" s="36">
        <f t="shared" si="454"/>
        <v>794.88378884670749</v>
      </c>
      <c r="G810" s="36">
        <f t="shared" si="454"/>
        <v>1811.4923546078239</v>
      </c>
      <c r="H810" s="36">
        <f t="shared" si="454"/>
        <v>849.36896650506696</v>
      </c>
      <c r="I810" s="36">
        <f t="shared" si="454"/>
        <v>4167.5767325916977</v>
      </c>
      <c r="J810" s="36">
        <f t="shared" si="454"/>
        <v>4000.790048478998</v>
      </c>
      <c r="K810" s="36" t="s">
        <v>131</v>
      </c>
      <c r="L810" s="37" t="s">
        <v>131</v>
      </c>
    </row>
    <row r="811" spans="1:12" s="53" customFormat="1" ht="20.100000000000001" hidden="1" customHeight="1" thickBot="1" x14ac:dyDescent="0.3">
      <c r="A811" s="327" t="s">
        <v>1043</v>
      </c>
      <c r="B811" s="321" t="s">
        <v>178</v>
      </c>
      <c r="C811" s="9">
        <v>10704.646505376344</v>
      </c>
      <c r="D811" s="9">
        <v>7286.8535734615389</v>
      </c>
      <c r="E811" s="9">
        <v>1324.1483086021506</v>
      </c>
      <c r="F811" s="9">
        <v>708.08402150537631</v>
      </c>
      <c r="G811" s="9" t="s">
        <v>131</v>
      </c>
      <c r="H811" s="9">
        <v>684.64126989247325</v>
      </c>
      <c r="I811" s="9">
        <v>6473.77044623656</v>
      </c>
      <c r="J811" s="9">
        <v>8186.305941935484</v>
      </c>
      <c r="K811" s="18" t="s">
        <v>131</v>
      </c>
      <c r="L811" s="20" t="s">
        <v>131</v>
      </c>
    </row>
    <row r="812" spans="1:12" s="53" customFormat="1" ht="20.100000000000001" customHeight="1" x14ac:dyDescent="0.25">
      <c r="A812" s="327"/>
      <c r="B812" s="322"/>
      <c r="C812" s="10">
        <v>24035.17</v>
      </c>
      <c r="D812" s="10">
        <f t="shared" ref="D812:J812" si="455">D811/12.79*19.53*1.039</f>
        <v>11560.784054026764</v>
      </c>
      <c r="E812" s="10">
        <f t="shared" si="455"/>
        <v>2100.7959741370605</v>
      </c>
      <c r="F812" s="10">
        <f t="shared" si="455"/>
        <v>1123.3938464941359</v>
      </c>
      <c r="G812" s="10" t="s">
        <v>131</v>
      </c>
      <c r="H812" s="10">
        <f t="shared" si="455"/>
        <v>1086.201307039797</v>
      </c>
      <c r="I812" s="10">
        <f t="shared" si="455"/>
        <v>10270.806376136436</v>
      </c>
      <c r="J812" s="10">
        <f t="shared" si="455"/>
        <v>12987.788795370918</v>
      </c>
      <c r="K812" s="10" t="s">
        <v>131</v>
      </c>
      <c r="L812" s="26" t="s">
        <v>131</v>
      </c>
    </row>
    <row r="813" spans="1:12" s="53" customFormat="1" ht="20.100000000000001" customHeight="1" x14ac:dyDescent="0.25">
      <c r="A813" s="327"/>
      <c r="B813" s="322"/>
      <c r="C813" s="16">
        <f>C812*0.0214</f>
        <v>514.35263799999996</v>
      </c>
      <c r="D813" s="16">
        <f t="shared" ref="D813:J813" si="456">D812*0.0214</f>
        <v>247.40077875617274</v>
      </c>
      <c r="E813" s="16">
        <f t="shared" si="456"/>
        <v>44.957033846533093</v>
      </c>
      <c r="F813" s="16">
        <f t="shared" si="456"/>
        <v>24.040628314974509</v>
      </c>
      <c r="G813" s="16" t="s">
        <v>131</v>
      </c>
      <c r="H813" s="16">
        <f t="shared" si="456"/>
        <v>23.244707970651657</v>
      </c>
      <c r="I813" s="16">
        <f t="shared" si="456"/>
        <v>219.79525644931971</v>
      </c>
      <c r="J813" s="16">
        <f t="shared" si="456"/>
        <v>277.93868022093761</v>
      </c>
      <c r="K813" s="16" t="s">
        <v>131</v>
      </c>
      <c r="L813" s="15" t="s">
        <v>131</v>
      </c>
    </row>
    <row r="814" spans="1:12" s="53" customFormat="1" ht="20.100000000000001" hidden="1" customHeight="1" x14ac:dyDescent="0.25">
      <c r="A814" s="327"/>
      <c r="B814" s="322"/>
      <c r="C814" s="16">
        <f>7307/244.3</f>
        <v>29.909946786737617</v>
      </c>
      <c r="D814" s="16">
        <f>6734/244.2</f>
        <v>27.575757575757578</v>
      </c>
      <c r="E814" s="16">
        <f>5763/244.2</f>
        <v>23.599508599508599</v>
      </c>
      <c r="F814" s="16">
        <f>5856/2/244.2</f>
        <v>11.990171990171991</v>
      </c>
      <c r="G814" s="16" t="s">
        <v>131</v>
      </c>
      <c r="H814" s="16">
        <f>F814</f>
        <v>11.990171990171991</v>
      </c>
      <c r="I814" s="16">
        <f>6075/244.2</f>
        <v>24.877149877149879</v>
      </c>
      <c r="J814" s="16">
        <f>5486/244.2</f>
        <v>22.465192465192466</v>
      </c>
      <c r="K814" s="16" t="s">
        <v>131</v>
      </c>
      <c r="L814" s="15" t="s">
        <v>131</v>
      </c>
    </row>
    <row r="815" spans="1:12" s="53" customFormat="1" ht="20.100000000000001" hidden="1" customHeight="1" thickBot="1" x14ac:dyDescent="0.3">
      <c r="A815" s="327"/>
      <c r="B815" s="322"/>
      <c r="C815" s="18">
        <f>(1/1628.1)*138458.88*1.2*P4</f>
        <v>126.40118253364754</v>
      </c>
      <c r="D815" s="18">
        <f>(1/1628.1)*48460.2*1.2*P4</f>
        <v>44.240041417474025</v>
      </c>
      <c r="E815" s="18">
        <f>(1/1628.1)*92305.92*1.2*P4</f>
        <v>84.26745502243169</v>
      </c>
      <c r="F815" s="19">
        <f>(1/1628.1)*69229.44*1.2*P4</f>
        <v>63.200591266823771</v>
      </c>
      <c r="G815" s="24" t="s">
        <v>131</v>
      </c>
      <c r="H815" s="24">
        <f>(1/1628.1)*69229.44*1.2*P4</f>
        <v>63.200591266823771</v>
      </c>
      <c r="I815" s="19">
        <f>(1/1628.1)*91152.3*1.2*P4</f>
        <v>83.2142980693026</v>
      </c>
      <c r="J815" s="19">
        <f>(1/1628.1)*113075.16*1.2*P4</f>
        <v>103.22800487178142</v>
      </c>
      <c r="K815" s="35" t="s">
        <v>131</v>
      </c>
      <c r="L815" s="20" t="s">
        <v>131</v>
      </c>
    </row>
    <row r="816" spans="1:12" s="53" customFormat="1" ht="20.100000000000001" customHeight="1" thickBot="1" x14ac:dyDescent="0.3">
      <c r="A816" s="327"/>
      <c r="B816" s="323"/>
      <c r="C816" s="18">
        <f>C815+C814</f>
        <v>156.31112932038516</v>
      </c>
      <c r="D816" s="18">
        <f t="shared" ref="D816:J816" si="457">D815+D814</f>
        <v>71.815798993231596</v>
      </c>
      <c r="E816" s="18">
        <f t="shared" si="457"/>
        <v>107.86696362194029</v>
      </c>
      <c r="F816" s="18">
        <f t="shared" si="457"/>
        <v>75.190763256995766</v>
      </c>
      <c r="G816" s="18" t="s">
        <v>131</v>
      </c>
      <c r="H816" s="18">
        <f t="shared" si="457"/>
        <v>75.190763256995766</v>
      </c>
      <c r="I816" s="18">
        <f t="shared" si="457"/>
        <v>108.09144794645248</v>
      </c>
      <c r="J816" s="18">
        <f t="shared" si="457"/>
        <v>125.6931973369739</v>
      </c>
      <c r="K816" s="10" t="s">
        <v>131</v>
      </c>
      <c r="L816" s="34" t="s">
        <v>131</v>
      </c>
    </row>
    <row r="817" spans="1:12" s="53" customFormat="1" ht="20.100000000000001" customHeight="1" thickBot="1" x14ac:dyDescent="0.3">
      <c r="A817" s="328"/>
      <c r="B817" s="259" t="s">
        <v>212</v>
      </c>
      <c r="C817" s="36">
        <f>SUM(C812:C815)</f>
        <v>24705.833767320386</v>
      </c>
      <c r="D817" s="36">
        <f t="shared" ref="D817:J817" si="458">SUM(D812:D815)</f>
        <v>11880.000631776169</v>
      </c>
      <c r="E817" s="36">
        <f t="shared" si="458"/>
        <v>2253.6199716055339</v>
      </c>
      <c r="F817" s="36">
        <f t="shared" si="458"/>
        <v>1222.6252380661062</v>
      </c>
      <c r="G817" s="36" t="s">
        <v>131</v>
      </c>
      <c r="H817" s="36">
        <f t="shared" si="458"/>
        <v>1184.6367782674445</v>
      </c>
      <c r="I817" s="36">
        <f t="shared" si="458"/>
        <v>10598.693080532206</v>
      </c>
      <c r="J817" s="36">
        <f t="shared" si="458"/>
        <v>13391.420672928829</v>
      </c>
      <c r="K817" s="36" t="s">
        <v>131</v>
      </c>
      <c r="L817" s="37" t="s">
        <v>131</v>
      </c>
    </row>
    <row r="818" spans="1:12" s="81" customFormat="1" ht="20.100000000000001" hidden="1" customHeight="1" thickBot="1" x14ac:dyDescent="0.3">
      <c r="A818" s="327" t="s">
        <v>1044</v>
      </c>
      <c r="B818" s="321" t="s">
        <v>85</v>
      </c>
      <c r="C818" s="9">
        <v>11611.986361347088</v>
      </c>
      <c r="D818" s="9">
        <v>7633.8236382692312</v>
      </c>
      <c r="E818" s="9">
        <v>1147.6404557038836</v>
      </c>
      <c r="F818" s="9">
        <v>647.18375333737868</v>
      </c>
      <c r="G818" s="9" t="s">
        <v>131</v>
      </c>
      <c r="H818" s="9">
        <v>373.57368932038833</v>
      </c>
      <c r="I818" s="9">
        <v>4349.5340552184471</v>
      </c>
      <c r="J818" s="9">
        <v>4140.4109645024264</v>
      </c>
      <c r="K818" s="9" t="s">
        <v>131</v>
      </c>
      <c r="L818" s="20" t="s">
        <v>131</v>
      </c>
    </row>
    <row r="819" spans="1:12" s="81" customFormat="1" ht="20.100000000000001" customHeight="1" x14ac:dyDescent="0.25">
      <c r="A819" s="327"/>
      <c r="B819" s="322"/>
      <c r="C819" s="10">
        <v>24035.17</v>
      </c>
      <c r="D819" s="10">
        <f t="shared" ref="D819:J819" si="459">D818/12.79*19.53*1.039</f>
        <v>12111.261149801299</v>
      </c>
      <c r="E819" s="10">
        <f t="shared" si="459"/>
        <v>1820.7616423606589</v>
      </c>
      <c r="F819" s="10">
        <f t="shared" si="459"/>
        <v>1026.773975925214</v>
      </c>
      <c r="G819" s="10" t="s">
        <v>131</v>
      </c>
      <c r="H819" s="10">
        <f t="shared" si="459"/>
        <v>592.68444287504644</v>
      </c>
      <c r="I819" s="10">
        <f t="shared" si="459"/>
        <v>6900.6497030691562</v>
      </c>
      <c r="J819" s="10">
        <f t="shared" si="459"/>
        <v>6568.8704422255623</v>
      </c>
      <c r="K819" s="10" t="s">
        <v>131</v>
      </c>
      <c r="L819" s="26" t="s">
        <v>131</v>
      </c>
    </row>
    <row r="820" spans="1:12" s="81" customFormat="1" ht="20.100000000000001" customHeight="1" x14ac:dyDescent="0.25">
      <c r="A820" s="327"/>
      <c r="B820" s="322"/>
      <c r="C820" s="16">
        <f>C819*0.0214</f>
        <v>514.35263799999996</v>
      </c>
      <c r="D820" s="16">
        <f t="shared" ref="D820:J820" si="460">D819*0.0214</f>
        <v>259.18098860574781</v>
      </c>
      <c r="E820" s="16">
        <f t="shared" si="460"/>
        <v>38.964299146518101</v>
      </c>
      <c r="F820" s="16">
        <f t="shared" si="460"/>
        <v>21.972963084799577</v>
      </c>
      <c r="G820" s="16" t="s">
        <v>131</v>
      </c>
      <c r="H820" s="16">
        <f t="shared" si="460"/>
        <v>12.683447077525994</v>
      </c>
      <c r="I820" s="16">
        <f t="shared" si="460"/>
        <v>147.67390364567993</v>
      </c>
      <c r="J820" s="16">
        <f t="shared" si="460"/>
        <v>140.57382746362703</v>
      </c>
      <c r="K820" s="16" t="s">
        <v>131</v>
      </c>
      <c r="L820" s="15" t="s">
        <v>131</v>
      </c>
    </row>
    <row r="821" spans="1:12" s="81" customFormat="1" ht="20.100000000000001" hidden="1" customHeight="1" x14ac:dyDescent="0.25">
      <c r="A821" s="327"/>
      <c r="B821" s="322"/>
      <c r="C821" s="16">
        <f>7858/329.6</f>
        <v>23.841019417475728</v>
      </c>
      <c r="D821" s="16">
        <f>7143/173</f>
        <v>41.289017341040463</v>
      </c>
      <c r="E821" s="16">
        <f>5999/329.6</f>
        <v>18.200849514563107</v>
      </c>
      <c r="F821" s="16">
        <f>6124/2/329.6</f>
        <v>9.2900485436893199</v>
      </c>
      <c r="G821" s="16" t="s">
        <v>131</v>
      </c>
      <c r="H821" s="16">
        <f>F821</f>
        <v>9.2900485436893199</v>
      </c>
      <c r="I821" s="16">
        <f>6419/329.6</f>
        <v>19.475121359223298</v>
      </c>
      <c r="J821" s="16">
        <f>5585/329.6</f>
        <v>16.944781553398059</v>
      </c>
      <c r="K821" s="16" t="s">
        <v>131</v>
      </c>
      <c r="L821" s="15" t="s">
        <v>131</v>
      </c>
    </row>
    <row r="822" spans="1:12" s="81" customFormat="1" ht="20.100000000000001" hidden="1" customHeight="1" thickBot="1" x14ac:dyDescent="0.3">
      <c r="A822" s="327"/>
      <c r="B822" s="322"/>
      <c r="C822" s="18">
        <f>(1/329.6)*80067.96/2*1.2*P4</f>
        <v>180.53148886682422</v>
      </c>
      <c r="D822" s="18">
        <f>(1/329.6)*68057.46/2*1.2*P4</f>
        <v>153.45107558996548</v>
      </c>
      <c r="E822" s="18">
        <f>(1/329.6)*53378.64/2*1.2*P4</f>
        <v>120.35432591121614</v>
      </c>
      <c r="F822" s="18">
        <f>(1/329.6)*40033.98/2*1.2*P4</f>
        <v>90.26574443341211</v>
      </c>
      <c r="G822" s="67" t="s">
        <v>131</v>
      </c>
      <c r="H822" s="17">
        <f>(1/329.6)*40033.98/2*1.2*P4</f>
        <v>90.26574443341211</v>
      </c>
      <c r="I822" s="19">
        <f>(1/329.6)*52712/2*1.2*P4</f>
        <v>118.85123389115992</v>
      </c>
      <c r="J822" s="19">
        <f>(1/329.6)*65389.14/2*1.2*P4</f>
        <v>147.43473918807481</v>
      </c>
      <c r="K822" s="18" t="s">
        <v>131</v>
      </c>
      <c r="L822" s="20" t="s">
        <v>131</v>
      </c>
    </row>
    <row r="823" spans="1:12" s="81" customFormat="1" ht="20.100000000000001" customHeight="1" thickBot="1" x14ac:dyDescent="0.3">
      <c r="A823" s="327"/>
      <c r="B823" s="323"/>
      <c r="C823" s="18">
        <f>C822+C821</f>
        <v>204.37250828429995</v>
      </c>
      <c r="D823" s="18">
        <f t="shared" ref="D823:J823" si="461">D822+D821</f>
        <v>194.74009293100596</v>
      </c>
      <c r="E823" s="18">
        <f t="shared" si="461"/>
        <v>138.55517542577925</v>
      </c>
      <c r="F823" s="18">
        <f t="shared" si="461"/>
        <v>99.555792977101433</v>
      </c>
      <c r="G823" s="18" t="s">
        <v>131</v>
      </c>
      <c r="H823" s="18">
        <f t="shared" si="461"/>
        <v>99.555792977101433</v>
      </c>
      <c r="I823" s="18">
        <f t="shared" si="461"/>
        <v>138.32635525038322</v>
      </c>
      <c r="J823" s="18">
        <f t="shared" si="461"/>
        <v>164.37952074147287</v>
      </c>
      <c r="K823" s="17" t="s">
        <v>131</v>
      </c>
      <c r="L823" s="84" t="s">
        <v>131</v>
      </c>
    </row>
    <row r="824" spans="1:12" s="81" customFormat="1" ht="20.100000000000001" customHeight="1" thickBot="1" x14ac:dyDescent="0.3">
      <c r="A824" s="328"/>
      <c r="B824" s="265" t="s">
        <v>212</v>
      </c>
      <c r="C824" s="36">
        <f>SUM(C819:C822)</f>
        <v>24753.8951462843</v>
      </c>
      <c r="D824" s="36">
        <f t="shared" ref="D824:J824" si="462">SUM(D819:D822)</f>
        <v>12565.182231338051</v>
      </c>
      <c r="E824" s="36">
        <f t="shared" si="462"/>
        <v>1998.2811169329564</v>
      </c>
      <c r="F824" s="36">
        <f t="shared" si="462"/>
        <v>1148.3027319871151</v>
      </c>
      <c r="G824" s="36" t="s">
        <v>131</v>
      </c>
      <c r="H824" s="36">
        <f t="shared" si="462"/>
        <v>704.92368292967387</v>
      </c>
      <c r="I824" s="36">
        <f t="shared" si="462"/>
        <v>7186.6499619652195</v>
      </c>
      <c r="J824" s="36">
        <f t="shared" si="462"/>
        <v>6873.8237904306616</v>
      </c>
      <c r="K824" s="268" t="s">
        <v>131</v>
      </c>
      <c r="L824" s="84" t="s">
        <v>131</v>
      </c>
    </row>
    <row r="825" spans="1:12" s="53" customFormat="1" ht="18" customHeight="1" thickBot="1" x14ac:dyDescent="0.3">
      <c r="A825" s="311" t="s">
        <v>1045</v>
      </c>
      <c r="B825" s="312"/>
      <c r="C825" s="312"/>
      <c r="D825" s="312"/>
      <c r="E825" s="312"/>
      <c r="F825" s="312"/>
      <c r="G825" s="312"/>
      <c r="H825" s="312"/>
      <c r="I825" s="312"/>
      <c r="J825" s="312"/>
      <c r="K825" s="312"/>
      <c r="L825" s="313"/>
    </row>
    <row r="826" spans="1:12" s="81" customFormat="1" ht="20.100000000000001" hidden="1" customHeight="1" thickBot="1" x14ac:dyDescent="0.3">
      <c r="A826" s="327" t="s">
        <v>1046</v>
      </c>
      <c r="B826" s="321" t="s">
        <v>86</v>
      </c>
      <c r="C826" s="85">
        <v>6093.8051738760914</v>
      </c>
      <c r="D826" s="85">
        <v>6902.1921299999995</v>
      </c>
      <c r="E826" s="85">
        <v>972.35015676393175</v>
      </c>
      <c r="F826" s="85">
        <v>555.25972023543</v>
      </c>
      <c r="G826" s="85">
        <v>551.16574624719885</v>
      </c>
      <c r="H826" s="85">
        <v>599.06261404028589</v>
      </c>
      <c r="I826" s="85">
        <v>3215.1289184482757</v>
      </c>
      <c r="J826" s="85">
        <v>3586.0184873823237</v>
      </c>
      <c r="K826" s="85" t="s">
        <v>131</v>
      </c>
      <c r="L826" s="86" t="s">
        <v>131</v>
      </c>
    </row>
    <row r="827" spans="1:12" s="81" customFormat="1" ht="20.100000000000001" customHeight="1" x14ac:dyDescent="0.25">
      <c r="A827" s="327"/>
      <c r="B827" s="322"/>
      <c r="C827" s="87">
        <f>C826/13.19*19.53*1.039</f>
        <v>9374.7902678230676</v>
      </c>
      <c r="D827" s="87">
        <f t="shared" ref="D827:J827" si="463">D826/13.19*19.53*1.039</f>
        <v>10618.423425212819</v>
      </c>
      <c r="E827" s="87">
        <f t="shared" si="463"/>
        <v>1495.8763082260782</v>
      </c>
      <c r="F827" s="87">
        <f t="shared" si="463"/>
        <v>854.21887849201426</v>
      </c>
      <c r="G827" s="87">
        <f t="shared" si="463"/>
        <v>847.92065490158427</v>
      </c>
      <c r="H827" s="87">
        <f t="shared" si="463"/>
        <v>921.60582816094382</v>
      </c>
      <c r="I827" s="87">
        <f t="shared" si="463"/>
        <v>4946.1967415170075</v>
      </c>
      <c r="J827" s="87">
        <f t="shared" si="463"/>
        <v>5516.778147070605</v>
      </c>
      <c r="K827" s="87" t="s">
        <v>131</v>
      </c>
      <c r="L827" s="88" t="s">
        <v>131</v>
      </c>
    </row>
    <row r="828" spans="1:12" s="81" customFormat="1" ht="20.100000000000001" customHeight="1" x14ac:dyDescent="0.25">
      <c r="A828" s="327"/>
      <c r="B828" s="322"/>
      <c r="C828" s="16">
        <f>C827*0.0214</f>
        <v>200.62051173141364</v>
      </c>
      <c r="D828" s="16">
        <f t="shared" ref="D828:J828" si="464">D827*0.0214</f>
        <v>227.2342612995543</v>
      </c>
      <c r="E828" s="16">
        <f t="shared" si="464"/>
        <v>32.011752996038069</v>
      </c>
      <c r="F828" s="16">
        <f t="shared" si="464"/>
        <v>18.280283999729104</v>
      </c>
      <c r="G828" s="16">
        <f t="shared" si="464"/>
        <v>18.145502014893903</v>
      </c>
      <c r="H828" s="16">
        <f t="shared" si="464"/>
        <v>19.722364722644198</v>
      </c>
      <c r="I828" s="16">
        <f t="shared" si="464"/>
        <v>105.84861026846396</v>
      </c>
      <c r="J828" s="16">
        <f t="shared" si="464"/>
        <v>118.05905234731094</v>
      </c>
      <c r="K828" s="16" t="s">
        <v>131</v>
      </c>
      <c r="L828" s="89" t="s">
        <v>131</v>
      </c>
    </row>
    <row r="829" spans="1:12" s="81" customFormat="1" ht="20.100000000000001" hidden="1" customHeight="1" x14ac:dyDescent="0.25">
      <c r="A829" s="327"/>
      <c r="B829" s="322"/>
      <c r="C829" s="16">
        <f>11310/580</f>
        <v>19.5</v>
      </c>
      <c r="D829" s="16">
        <f>10053/290</f>
        <v>34.665517241379312</v>
      </c>
      <c r="E829" s="16">
        <f>8039/580</f>
        <v>13.860344827586207</v>
      </c>
      <c r="F829" s="16">
        <f>9039/2/580</f>
        <v>7.7922413793103447</v>
      </c>
      <c r="G829" s="16">
        <f>8779/580</f>
        <v>15.136206896551725</v>
      </c>
      <c r="H829" s="16">
        <f>F829</f>
        <v>7.7922413793103447</v>
      </c>
      <c r="I829" s="16">
        <f>10339/580</f>
        <v>17.825862068965517</v>
      </c>
      <c r="J829" s="16">
        <f>7311/580</f>
        <v>12.605172413793104</v>
      </c>
      <c r="K829" s="16" t="s">
        <v>131</v>
      </c>
      <c r="L829" s="89" t="s">
        <v>131</v>
      </c>
    </row>
    <row r="830" spans="1:12" s="81" customFormat="1" ht="20.100000000000001" hidden="1" customHeight="1" thickBot="1" x14ac:dyDescent="0.3">
      <c r="A830" s="327"/>
      <c r="B830" s="322"/>
      <c r="C830" s="18">
        <f>(1/580)*84122.46*1.2*P4</f>
        <v>215.57349844366604</v>
      </c>
      <c r="D830" s="18">
        <f>(1/290)*29443.32*1.2*P4</f>
        <v>150.90380139136113</v>
      </c>
      <c r="E830" s="18">
        <f>(1/580)*56081.64*1.2*P4</f>
        <v>143.71566562911067</v>
      </c>
      <c r="F830" s="18">
        <f>(1/580)*42061.74*1.2*P4</f>
        <v>107.78805615560795</v>
      </c>
      <c r="G830" s="19">
        <f>(1/580)*42061.74*1.2*P4</f>
        <v>107.78805615560795</v>
      </c>
      <c r="H830" s="19">
        <f>(1/580)*42061.74*1.2*P4</f>
        <v>107.78805615560795</v>
      </c>
      <c r="I830" s="19">
        <f>(1/580)*55380.9*1.2*P4</f>
        <v>141.91993862232306</v>
      </c>
      <c r="J830" s="19">
        <f>(1/580)*68700.06*1.2*P4</f>
        <v>176.05182108903807</v>
      </c>
      <c r="K830" s="18" t="s">
        <v>131</v>
      </c>
      <c r="L830" s="20" t="s">
        <v>131</v>
      </c>
    </row>
    <row r="831" spans="1:12" s="81" customFormat="1" ht="20.100000000000001" customHeight="1" thickBot="1" x14ac:dyDescent="0.3">
      <c r="A831" s="327"/>
      <c r="B831" s="323"/>
      <c r="C831" s="18">
        <f>C830+C829</f>
        <v>235.07349844366604</v>
      </c>
      <c r="D831" s="18">
        <f t="shared" ref="D831:J831" si="465">D830+D829</f>
        <v>185.56931863274045</v>
      </c>
      <c r="E831" s="18">
        <f t="shared" si="465"/>
        <v>157.57601045669688</v>
      </c>
      <c r="F831" s="18">
        <f t="shared" si="465"/>
        <v>115.58029753491829</v>
      </c>
      <c r="G831" s="18">
        <f t="shared" si="465"/>
        <v>122.92426305215967</v>
      </c>
      <c r="H831" s="18">
        <f t="shared" si="465"/>
        <v>115.58029753491829</v>
      </c>
      <c r="I831" s="18">
        <f t="shared" si="465"/>
        <v>159.74580069128857</v>
      </c>
      <c r="J831" s="18">
        <f t="shared" si="465"/>
        <v>188.65699350283117</v>
      </c>
      <c r="K831" s="18" t="s">
        <v>131</v>
      </c>
      <c r="L831" s="34" t="s">
        <v>131</v>
      </c>
    </row>
    <row r="832" spans="1:12" s="81" customFormat="1" ht="20.100000000000001" customHeight="1" thickBot="1" x14ac:dyDescent="0.3">
      <c r="A832" s="328"/>
      <c r="B832" s="259" t="s">
        <v>212</v>
      </c>
      <c r="C832" s="36">
        <f>SUM(C827:C830)</f>
        <v>9810.4842779981464</v>
      </c>
      <c r="D832" s="36">
        <f t="shared" ref="D832:J832" si="466">SUM(D827:D830)</f>
        <v>11031.227005145114</v>
      </c>
      <c r="E832" s="36">
        <f t="shared" si="466"/>
        <v>1685.4640716788131</v>
      </c>
      <c r="F832" s="36">
        <f t="shared" si="466"/>
        <v>988.07946002666165</v>
      </c>
      <c r="G832" s="36">
        <f t="shared" si="466"/>
        <v>988.99041996863775</v>
      </c>
      <c r="H832" s="36">
        <f t="shared" si="466"/>
        <v>1056.9084904185063</v>
      </c>
      <c r="I832" s="36">
        <f t="shared" si="466"/>
        <v>5211.7911524767596</v>
      </c>
      <c r="J832" s="36">
        <f t="shared" si="466"/>
        <v>5823.4941929207471</v>
      </c>
      <c r="K832" s="36" t="s">
        <v>131</v>
      </c>
      <c r="L832" s="37" t="s">
        <v>131</v>
      </c>
    </row>
    <row r="833" spans="1:12" s="81" customFormat="1" ht="20.100000000000001" hidden="1" customHeight="1" thickBot="1" x14ac:dyDescent="0.3">
      <c r="A833" s="327" t="s">
        <v>1047</v>
      </c>
      <c r="B833" s="321" t="s">
        <v>211</v>
      </c>
      <c r="C833" s="9">
        <v>3856.0245390915579</v>
      </c>
      <c r="D833" s="9">
        <v>7744.1298948837211</v>
      </c>
      <c r="E833" s="9">
        <v>633.16336175195204</v>
      </c>
      <c r="F833" s="9">
        <v>362.71391583665758</v>
      </c>
      <c r="G833" s="9">
        <v>5840.1078570629898</v>
      </c>
      <c r="H833" s="9">
        <v>278.71639042806783</v>
      </c>
      <c r="I833" s="9">
        <v>1878.6050710026088</v>
      </c>
      <c r="J833" s="9">
        <v>2562.8753543535022</v>
      </c>
      <c r="K833" s="9">
        <v>573.8281151326413</v>
      </c>
      <c r="L833" s="21" t="s">
        <v>131</v>
      </c>
    </row>
    <row r="834" spans="1:12" s="81" customFormat="1" ht="20.100000000000001" customHeight="1" x14ac:dyDescent="0.25">
      <c r="A834" s="327"/>
      <c r="B834" s="322"/>
      <c r="C834" s="10">
        <f>C833/13.19*19.53*1.039</f>
        <v>5932.1590188891587</v>
      </c>
      <c r="D834" s="10">
        <f t="shared" ref="D834:K834" si="467">D833/13.19*19.53*1.039</f>
        <v>11913.671589394629</v>
      </c>
      <c r="E834" s="10">
        <f t="shared" si="467"/>
        <v>974.06686829122305</v>
      </c>
      <c r="F834" s="10">
        <f t="shared" si="467"/>
        <v>558.00387297689383</v>
      </c>
      <c r="G834" s="10">
        <f t="shared" si="467"/>
        <v>8984.4989689104896</v>
      </c>
      <c r="H834" s="10">
        <f t="shared" si="467"/>
        <v>428.78097180875744</v>
      </c>
      <c r="I834" s="10">
        <f t="shared" si="467"/>
        <v>2890.0708234352928</v>
      </c>
      <c r="J834" s="10">
        <f t="shared" si="467"/>
        <v>3942.7612541072272</v>
      </c>
      <c r="K834" s="10">
        <f t="shared" si="467"/>
        <v>882.7847421526584</v>
      </c>
      <c r="L834" s="21" t="s">
        <v>131</v>
      </c>
    </row>
    <row r="835" spans="1:12" s="81" customFormat="1" ht="20.100000000000001" customHeight="1" x14ac:dyDescent="0.25">
      <c r="A835" s="327"/>
      <c r="B835" s="322"/>
      <c r="C835" s="16">
        <f>C834*0.0214</f>
        <v>126.94820300422799</v>
      </c>
      <c r="D835" s="16">
        <f t="shared" ref="D835:K835" si="468">D834*0.0214</f>
        <v>254.95257201304506</v>
      </c>
      <c r="E835" s="16">
        <f t="shared" si="468"/>
        <v>20.845030981432171</v>
      </c>
      <c r="F835" s="16">
        <f t="shared" si="468"/>
        <v>11.941282881705527</v>
      </c>
      <c r="G835" s="16">
        <f t="shared" si="468"/>
        <v>192.26827793468448</v>
      </c>
      <c r="H835" s="16">
        <f t="shared" si="468"/>
        <v>9.1759127967074097</v>
      </c>
      <c r="I835" s="16">
        <f t="shared" si="468"/>
        <v>61.847515621515264</v>
      </c>
      <c r="J835" s="16">
        <f t="shared" si="468"/>
        <v>84.37509083789466</v>
      </c>
      <c r="K835" s="16">
        <f t="shared" si="468"/>
        <v>18.891593482066888</v>
      </c>
      <c r="L835" s="15" t="s">
        <v>131</v>
      </c>
    </row>
    <row r="836" spans="1:12" s="81" customFormat="1" ht="20.100000000000001" hidden="1" customHeight="1" x14ac:dyDescent="0.25">
      <c r="A836" s="327"/>
      <c r="B836" s="322"/>
      <c r="C836" s="16">
        <f>18746/1608.9</f>
        <v>11.651438871278513</v>
      </c>
      <c r="D836" s="16">
        <f>15569/536</f>
        <v>29.046641791044777</v>
      </c>
      <c r="E836" s="16">
        <f>10887/1608.9</f>
        <v>6.7667350363602461</v>
      </c>
      <c r="F836" s="16">
        <f>16541/2/1608.9</f>
        <v>5.1404686431723539</v>
      </c>
      <c r="G836" s="16">
        <f>13655/1608.9</f>
        <v>8.4871651438871272</v>
      </c>
      <c r="H836" s="16">
        <f>F836</f>
        <v>5.1404686431723539</v>
      </c>
      <c r="I836" s="16">
        <f>24478/1608.9</f>
        <v>15.214121449437503</v>
      </c>
      <c r="J836" s="16">
        <f>8644/1608.9</f>
        <v>5.3726148300080796</v>
      </c>
      <c r="K836" s="16">
        <f>J836</f>
        <v>5.3726148300080796</v>
      </c>
      <c r="L836" s="15" t="s">
        <v>131</v>
      </c>
    </row>
    <row r="837" spans="1:12" s="81" customFormat="1" ht="20.100000000000001" hidden="1" customHeight="1" thickBot="1" x14ac:dyDescent="0.3">
      <c r="A837" s="327"/>
      <c r="B837" s="322"/>
      <c r="C837" s="18">
        <f>(1/1609.8)*138162.06*1.2*P4</f>
        <v>127.5640431842203</v>
      </c>
      <c r="D837" s="18">
        <f>(1/536)*48357.18*1.2*P4</f>
        <v>134.09345349014137</v>
      </c>
      <c r="E837" s="18">
        <f>(1/1609.8)*92108.04*1.2*P4</f>
        <v>85.042695456146873</v>
      </c>
      <c r="F837" s="18">
        <f>(1/1609.8)*69081.54*1.2*P4</f>
        <v>63.782492471467513</v>
      </c>
      <c r="G837" s="19">
        <f>(1/1609.8)*69081.54*1.2*P4</f>
        <v>63.782492471467513</v>
      </c>
      <c r="H837" s="19">
        <f>(1/1609.8)*69081.54*1.2*P4</f>
        <v>63.782492471467513</v>
      </c>
      <c r="I837" s="19">
        <f>(1/1609.8)*90957.48*1.2*P4</f>
        <v>83.98039162594894</v>
      </c>
      <c r="J837" s="19">
        <f>(1/1609.8)*112832.4*1.2*P4</f>
        <v>104.17734902171564</v>
      </c>
      <c r="K837" s="18">
        <f>(1/1609.8)*48357.18*1.2*P4</f>
        <v>44.64783890589873</v>
      </c>
      <c r="L837" s="20" t="s">
        <v>131</v>
      </c>
    </row>
    <row r="838" spans="1:12" s="81" customFormat="1" ht="20.100000000000001" customHeight="1" thickBot="1" x14ac:dyDescent="0.3">
      <c r="A838" s="327"/>
      <c r="B838" s="323"/>
      <c r="C838" s="18">
        <f>C837+C836</f>
        <v>139.2154820554988</v>
      </c>
      <c r="D838" s="18">
        <f t="shared" ref="D838:K838" si="469">D837+D836</f>
        <v>163.14009528118615</v>
      </c>
      <c r="E838" s="18">
        <f t="shared" si="469"/>
        <v>91.809430492507119</v>
      </c>
      <c r="F838" s="18">
        <f t="shared" si="469"/>
        <v>68.922961114639861</v>
      </c>
      <c r="G838" s="18">
        <f t="shared" si="469"/>
        <v>72.269657615354646</v>
      </c>
      <c r="H838" s="18">
        <f t="shared" si="469"/>
        <v>68.922961114639861</v>
      </c>
      <c r="I838" s="18">
        <f t="shared" si="469"/>
        <v>99.194513075386439</v>
      </c>
      <c r="J838" s="18">
        <f t="shared" si="469"/>
        <v>109.54996385172372</v>
      </c>
      <c r="K838" s="18">
        <f t="shared" si="469"/>
        <v>50.020453735906813</v>
      </c>
      <c r="L838" s="34" t="s">
        <v>131</v>
      </c>
    </row>
    <row r="839" spans="1:12" s="81" customFormat="1" ht="20.100000000000001" customHeight="1" thickBot="1" x14ac:dyDescent="0.3">
      <c r="A839" s="328"/>
      <c r="B839" s="265" t="s">
        <v>212</v>
      </c>
      <c r="C839" s="18">
        <f>SUM(C834:C837)</f>
        <v>6198.3227039488856</v>
      </c>
      <c r="D839" s="18">
        <f t="shared" ref="D839:K839" si="470">SUM(D834:D837)</f>
        <v>12331.764256688861</v>
      </c>
      <c r="E839" s="18">
        <f t="shared" si="470"/>
        <v>1086.7213297651624</v>
      </c>
      <c r="F839" s="18">
        <f t="shared" si="470"/>
        <v>638.86811697323924</v>
      </c>
      <c r="G839" s="18">
        <f t="shared" si="470"/>
        <v>9249.0369044605304</v>
      </c>
      <c r="H839" s="18">
        <f t="shared" si="470"/>
        <v>506.8798457201047</v>
      </c>
      <c r="I839" s="18">
        <f t="shared" si="470"/>
        <v>3051.1128521321948</v>
      </c>
      <c r="J839" s="18">
        <f t="shared" si="470"/>
        <v>4136.6863087968459</v>
      </c>
      <c r="K839" s="18">
        <f t="shared" si="470"/>
        <v>951.69678937063213</v>
      </c>
      <c r="L839" s="34" t="s">
        <v>131</v>
      </c>
    </row>
    <row r="840" spans="1:12" s="81" customFormat="1" ht="20.100000000000001" hidden="1" customHeight="1" thickBot="1" x14ac:dyDescent="0.3">
      <c r="A840" s="327" t="s">
        <v>1048</v>
      </c>
      <c r="B840" s="321" t="s">
        <v>87</v>
      </c>
      <c r="C840" s="85">
        <v>3460.2298394703853</v>
      </c>
      <c r="D840" s="85">
        <v>6782.5799152941181</v>
      </c>
      <c r="E840" s="85">
        <v>467.01605582105924</v>
      </c>
      <c r="F840" s="85">
        <v>319.84593262300217</v>
      </c>
      <c r="G840" s="85">
        <v>921.98055155123791</v>
      </c>
      <c r="H840" s="85">
        <v>411.3964131933563</v>
      </c>
      <c r="I840" s="85">
        <v>1255.9762114540899</v>
      </c>
      <c r="J840" s="85">
        <v>1762.1731735741146</v>
      </c>
      <c r="K840" s="85">
        <v>631.10941910842996</v>
      </c>
      <c r="L840" s="20" t="s">
        <v>131</v>
      </c>
    </row>
    <row r="841" spans="1:12" s="81" customFormat="1" ht="20.100000000000001" customHeight="1" x14ac:dyDescent="0.25">
      <c r="A841" s="327"/>
      <c r="B841" s="322"/>
      <c r="C841" s="87">
        <f>C840/13.19*19.53*1.039</f>
        <v>5323.2632317426869</v>
      </c>
      <c r="D841" s="87">
        <f t="shared" ref="D841:K841" si="471">D840/13.19*19.53*1.039</f>
        <v>10434.410416207445</v>
      </c>
      <c r="E841" s="87">
        <f t="shared" si="471"/>
        <v>718.463661063117</v>
      </c>
      <c r="F841" s="87">
        <f t="shared" si="471"/>
        <v>492.05520209463191</v>
      </c>
      <c r="G841" s="87">
        <f t="shared" si="471"/>
        <v>1418.3870431005084</v>
      </c>
      <c r="H841" s="87">
        <f t="shared" si="471"/>
        <v>632.89766912079097</v>
      </c>
      <c r="I841" s="87">
        <f t="shared" si="471"/>
        <v>1932.2103723030034</v>
      </c>
      <c r="J841" s="87">
        <f t="shared" si="471"/>
        <v>2710.9504564835975</v>
      </c>
      <c r="K841" s="87">
        <f t="shared" si="471"/>
        <v>970.90705583320357</v>
      </c>
      <c r="L841" s="26" t="s">
        <v>131</v>
      </c>
    </row>
    <row r="842" spans="1:12" s="81" customFormat="1" ht="20.100000000000001" customHeight="1" x14ac:dyDescent="0.25">
      <c r="A842" s="327"/>
      <c r="B842" s="322"/>
      <c r="C842" s="16">
        <f>C841*0.0214</f>
        <v>113.91783315929349</v>
      </c>
      <c r="D842" s="16">
        <f t="shared" ref="D842:K842" si="472">D841*0.0214</f>
        <v>223.29638290683931</v>
      </c>
      <c r="E842" s="16">
        <f t="shared" si="472"/>
        <v>15.375122346750704</v>
      </c>
      <c r="F842" s="16">
        <f t="shared" si="472"/>
        <v>10.529981324825123</v>
      </c>
      <c r="G842" s="16">
        <f t="shared" si="472"/>
        <v>30.353482722350879</v>
      </c>
      <c r="H842" s="16">
        <f t="shared" si="472"/>
        <v>13.544010119184925</v>
      </c>
      <c r="I842" s="16">
        <f t="shared" si="472"/>
        <v>41.349301967284269</v>
      </c>
      <c r="J842" s="16">
        <f t="shared" si="472"/>
        <v>58.014339768748982</v>
      </c>
      <c r="K842" s="16">
        <f t="shared" si="472"/>
        <v>20.777410994830554</v>
      </c>
      <c r="L842" s="15" t="s">
        <v>131</v>
      </c>
    </row>
    <row r="843" spans="1:12" s="81" customFormat="1" ht="20.100000000000001" hidden="1" customHeight="1" x14ac:dyDescent="0.25">
      <c r="A843" s="327"/>
      <c r="B843" s="322"/>
      <c r="C843" s="16">
        <f>24012/2552.8</f>
        <v>9.4061422751488557</v>
      </c>
      <c r="D843" s="16">
        <f>19475/640</f>
        <v>30.4296875</v>
      </c>
      <c r="E843" s="16">
        <f>13480/2552.8</f>
        <v>5.2804763397054213</v>
      </c>
      <c r="F843" s="16">
        <f>33894/2/2552.8</f>
        <v>6.638592917580695</v>
      </c>
      <c r="G843" s="16">
        <f>31607/2552.8</f>
        <v>12.381306800376057</v>
      </c>
      <c r="H843" s="16">
        <f>F843</f>
        <v>6.638592917580695</v>
      </c>
      <c r="I843" s="16">
        <f>35038/2552.8</f>
        <v>13.725321215919774</v>
      </c>
      <c r="J843" s="16">
        <f>9583/2552.8</f>
        <v>3.7539172673143213</v>
      </c>
      <c r="K843" s="16">
        <f>J843</f>
        <v>3.7539172673143213</v>
      </c>
      <c r="L843" s="15" t="s">
        <v>131</v>
      </c>
    </row>
    <row r="844" spans="1:12" s="81" customFormat="1" ht="20.100000000000001" hidden="1" customHeight="1" thickBot="1" x14ac:dyDescent="0.3">
      <c r="A844" s="327"/>
      <c r="B844" s="322"/>
      <c r="C844" s="18">
        <f>(1/2552.8)*207403.74*1.2*P4</f>
        <v>120.75668751081987</v>
      </c>
      <c r="D844" s="18">
        <f>(1/640)*72591.36/1.5*1.2*P4</f>
        <v>112.38933433263156</v>
      </c>
      <c r="E844" s="18">
        <f>(1/2552.8)*138269.16*1.2*P4</f>
        <v>80.504458340546591</v>
      </c>
      <c r="F844" s="18">
        <f>(1/2552.8)*103702.38*1.2*P4</f>
        <v>60.378640692729547</v>
      </c>
      <c r="G844" s="19">
        <f>(1/2552.8)*103702.38*1.2*P4</f>
        <v>60.378640692729547</v>
      </c>
      <c r="H844" s="19">
        <f>(1/2552.8)*103702.38*1.2*P4</f>
        <v>60.378640692729547</v>
      </c>
      <c r="I844" s="19">
        <f>(1/2552.8)*136541.28*1.2*P4</f>
        <v>79.498434701743392</v>
      </c>
      <c r="J844" s="19">
        <f>(1/2552.8)*169380.18*1.2*P4</f>
        <v>98.618228710757208</v>
      </c>
      <c r="K844" s="18">
        <f>(1/2552.8)*72591.36*1.2*P4</f>
        <v>42.264870322518917</v>
      </c>
      <c r="L844" s="20" t="s">
        <v>131</v>
      </c>
    </row>
    <row r="845" spans="1:12" s="81" customFormat="1" ht="20.100000000000001" customHeight="1" thickBot="1" x14ac:dyDescent="0.3">
      <c r="A845" s="327"/>
      <c r="B845" s="323"/>
      <c r="C845" s="18">
        <f>C844+C843</f>
        <v>130.16282978596874</v>
      </c>
      <c r="D845" s="18">
        <f t="shared" ref="D845:K845" si="473">D844+D843</f>
        <v>142.81902183263156</v>
      </c>
      <c r="E845" s="18">
        <f t="shared" si="473"/>
        <v>85.784934680252007</v>
      </c>
      <c r="F845" s="18">
        <f t="shared" si="473"/>
        <v>67.017233610310242</v>
      </c>
      <c r="G845" s="18">
        <f t="shared" si="473"/>
        <v>72.759947493105599</v>
      </c>
      <c r="H845" s="18">
        <f t="shared" si="473"/>
        <v>67.017233610310242</v>
      </c>
      <c r="I845" s="18">
        <f t="shared" si="473"/>
        <v>93.223755917663169</v>
      </c>
      <c r="J845" s="18">
        <f t="shared" si="473"/>
        <v>102.37214597807153</v>
      </c>
      <c r="K845" s="18">
        <f t="shared" si="473"/>
        <v>46.018787589833238</v>
      </c>
      <c r="L845" s="34" t="s">
        <v>131</v>
      </c>
    </row>
    <row r="846" spans="1:12" s="81" customFormat="1" ht="20.100000000000001" customHeight="1" thickBot="1" x14ac:dyDescent="0.3">
      <c r="A846" s="328"/>
      <c r="B846" s="259" t="s">
        <v>212</v>
      </c>
      <c r="C846" s="36">
        <f>SUM(C841:C844)</f>
        <v>5567.3438946879496</v>
      </c>
      <c r="D846" s="36">
        <f t="shared" ref="D846:K846" si="474">SUM(D841:D844)</f>
        <v>10800.525820946916</v>
      </c>
      <c r="E846" s="36">
        <f t="shared" si="474"/>
        <v>819.62371809011961</v>
      </c>
      <c r="F846" s="36">
        <f t="shared" si="474"/>
        <v>569.60241702976725</v>
      </c>
      <c r="G846" s="36">
        <f t="shared" si="474"/>
        <v>1521.5004733159649</v>
      </c>
      <c r="H846" s="36">
        <f t="shared" si="474"/>
        <v>713.45891285028608</v>
      </c>
      <c r="I846" s="36">
        <f t="shared" si="474"/>
        <v>2066.7834301879507</v>
      </c>
      <c r="J846" s="36">
        <f t="shared" si="474"/>
        <v>2871.3369422304177</v>
      </c>
      <c r="K846" s="36">
        <f t="shared" si="474"/>
        <v>1037.7032544178674</v>
      </c>
      <c r="L846" s="37" t="s">
        <v>131</v>
      </c>
    </row>
    <row r="847" spans="1:12" s="81" customFormat="1" ht="20.100000000000001" hidden="1" customHeight="1" thickBot="1" x14ac:dyDescent="0.3">
      <c r="A847" s="327" t="s">
        <v>1049</v>
      </c>
      <c r="B847" s="321" t="s">
        <v>88</v>
      </c>
      <c r="C847" s="9">
        <v>5531.1533600938974</v>
      </c>
      <c r="D847" s="9">
        <v>6565.1254680000011</v>
      </c>
      <c r="E847" s="9">
        <v>882.57134788732412</v>
      </c>
      <c r="F847" s="9">
        <v>503.99161643192491</v>
      </c>
      <c r="G847" s="9">
        <v>1235.8792816901409</v>
      </c>
      <c r="H847" s="9">
        <v>543.75010140845075</v>
      </c>
      <c r="I847" s="9">
        <v>2919.0748868544606</v>
      </c>
      <c r="J847" s="9">
        <v>3254.915060093897</v>
      </c>
      <c r="K847" s="9" t="s">
        <v>131</v>
      </c>
      <c r="L847" s="20" t="s">
        <v>131</v>
      </c>
    </row>
    <row r="848" spans="1:12" s="81" customFormat="1" ht="20.100000000000001" customHeight="1" x14ac:dyDescent="0.25">
      <c r="A848" s="327"/>
      <c r="B848" s="322"/>
      <c r="C848" s="7">
        <f>C847/14.06*19.53*1.039</f>
        <v>7982.6698934862407</v>
      </c>
      <c r="D848" s="7">
        <f t="shared" ref="D848:J848" si="475">D847/14.06*19.53*1.039</f>
        <v>9474.9188837305519</v>
      </c>
      <c r="E848" s="7">
        <f t="shared" si="475"/>
        <v>1273.7444198282203</v>
      </c>
      <c r="F848" s="7">
        <f t="shared" si="475"/>
        <v>727.37066596039813</v>
      </c>
      <c r="G848" s="7">
        <f t="shared" si="475"/>
        <v>1783.6454156396428</v>
      </c>
      <c r="H848" s="7">
        <f t="shared" si="475"/>
        <v>784.7508975993469</v>
      </c>
      <c r="I848" s="7">
        <f t="shared" si="475"/>
        <v>4212.8665938362774</v>
      </c>
      <c r="J848" s="7">
        <f t="shared" si="475"/>
        <v>4697.55777222301</v>
      </c>
      <c r="K848" s="7" t="s">
        <v>131</v>
      </c>
      <c r="L848" s="90" t="s">
        <v>131</v>
      </c>
    </row>
    <row r="849" spans="1:12" s="81" customFormat="1" ht="20.100000000000001" customHeight="1" x14ac:dyDescent="0.25">
      <c r="A849" s="327"/>
      <c r="B849" s="322"/>
      <c r="C849" s="35">
        <f>C848*0.0214</f>
        <v>170.82913572060554</v>
      </c>
      <c r="D849" s="35">
        <f t="shared" ref="D849:J849" si="476">D848*0.0214</f>
        <v>202.76326411183379</v>
      </c>
      <c r="E849" s="35">
        <f t="shared" si="476"/>
        <v>27.258130584323915</v>
      </c>
      <c r="F849" s="35">
        <f t="shared" si="476"/>
        <v>15.56573225155252</v>
      </c>
      <c r="G849" s="35">
        <f t="shared" si="476"/>
        <v>38.170011894688351</v>
      </c>
      <c r="H849" s="35">
        <f t="shared" si="476"/>
        <v>16.793669208626024</v>
      </c>
      <c r="I849" s="35">
        <f t="shared" si="476"/>
        <v>90.155345108096327</v>
      </c>
      <c r="J849" s="35">
        <f t="shared" si="476"/>
        <v>100.52773632557241</v>
      </c>
      <c r="K849" s="35" t="s">
        <v>131</v>
      </c>
      <c r="L849" s="62" t="s">
        <v>131</v>
      </c>
    </row>
    <row r="850" spans="1:12" s="81" customFormat="1" ht="20.100000000000001" hidden="1" customHeight="1" x14ac:dyDescent="0.25">
      <c r="A850" s="327"/>
      <c r="B850" s="322"/>
      <c r="C850" s="16">
        <f>11806/639</f>
        <v>18.475743348982785</v>
      </c>
      <c r="D850" s="16">
        <f>10420/320</f>
        <v>32.5625</v>
      </c>
      <c r="E850" s="16">
        <f>8202/639</f>
        <v>12.835680751173708</v>
      </c>
      <c r="F850" s="16">
        <f>9303/2/639</f>
        <v>7.279342723004695</v>
      </c>
      <c r="G850" s="16">
        <f>9017/639</f>
        <v>14.111111111111111</v>
      </c>
      <c r="H850" s="16">
        <f>F850</f>
        <v>7.279342723004695</v>
      </c>
      <c r="I850" s="16">
        <f>10735/639</f>
        <v>16.799687010954617</v>
      </c>
      <c r="J850" s="16">
        <f>7400/639</f>
        <v>11.580594679186229</v>
      </c>
      <c r="K850" s="16" t="s">
        <v>131</v>
      </c>
      <c r="L850" s="15" t="s">
        <v>131</v>
      </c>
    </row>
    <row r="851" spans="1:12" s="81" customFormat="1" ht="20.100000000000001" hidden="1" customHeight="1" thickBot="1" x14ac:dyDescent="0.3">
      <c r="A851" s="327"/>
      <c r="B851" s="322"/>
      <c r="C851" s="18">
        <f>(1/639)*85078.2/1.5*1.2*P4</f>
        <v>131.92818107042251</v>
      </c>
      <c r="D851" s="18">
        <f>(1/639)*72315.96/1.5*1.2*P4</f>
        <v>112.13816306834694</v>
      </c>
      <c r="E851" s="18">
        <f>(1/639)*56718.12/1.5*1.2*P4</f>
        <v>87.951066258265371</v>
      </c>
      <c r="F851" s="18">
        <f>(1/639)*42539.1/1.5*1.2*P4</f>
        <v>65.964090535211255</v>
      </c>
      <c r="G851" s="19">
        <f>(1/639)*42539.1/1.5*1.2*P4</f>
        <v>65.964090535211255</v>
      </c>
      <c r="H851" s="19">
        <f>(1/639)*42539.1/1.5*1.2*P4</f>
        <v>65.964090535211255</v>
      </c>
      <c r="I851" s="19">
        <f>(1/639)*56009.22/1.5*1.2*P4</f>
        <v>86.851796556263892</v>
      </c>
      <c r="J851" s="19">
        <f>(1/639)*69480.36/1.5*1.2*P4</f>
        <v>107.74108426034098</v>
      </c>
      <c r="K851" s="9" t="s">
        <v>131</v>
      </c>
      <c r="L851" s="20" t="s">
        <v>131</v>
      </c>
    </row>
    <row r="852" spans="1:12" s="81" customFormat="1" ht="20.100000000000001" customHeight="1" thickBot="1" x14ac:dyDescent="0.3">
      <c r="A852" s="327"/>
      <c r="B852" s="323"/>
      <c r="C852" s="18">
        <f>C851+C850</f>
        <v>150.40392441940529</v>
      </c>
      <c r="D852" s="18">
        <f t="shared" ref="D852:J852" si="477">D851+D850</f>
        <v>144.70066306834696</v>
      </c>
      <c r="E852" s="18">
        <f t="shared" si="477"/>
        <v>100.78674700943908</v>
      </c>
      <c r="F852" s="18">
        <f t="shared" si="477"/>
        <v>73.243433258215944</v>
      </c>
      <c r="G852" s="18">
        <f t="shared" si="477"/>
        <v>80.07520164632237</v>
      </c>
      <c r="H852" s="18">
        <f t="shared" si="477"/>
        <v>73.243433258215944</v>
      </c>
      <c r="I852" s="18">
        <f t="shared" si="477"/>
        <v>103.65148356721851</v>
      </c>
      <c r="J852" s="18">
        <f t="shared" si="477"/>
        <v>119.32167893952722</v>
      </c>
      <c r="K852" s="18" t="s">
        <v>131</v>
      </c>
      <c r="L852" s="34" t="s">
        <v>131</v>
      </c>
    </row>
    <row r="853" spans="1:12" s="81" customFormat="1" ht="20.100000000000001" customHeight="1" thickBot="1" x14ac:dyDescent="0.3">
      <c r="A853" s="328"/>
      <c r="B853" s="259" t="s">
        <v>212</v>
      </c>
      <c r="C853" s="36">
        <f>SUM(C848:C851)</f>
        <v>8303.9029536262515</v>
      </c>
      <c r="D853" s="36">
        <f t="shared" ref="D853:J853" si="478">SUM(D848:D851)</f>
        <v>9822.3828109107326</v>
      </c>
      <c r="E853" s="36">
        <f t="shared" si="478"/>
        <v>1401.7892974219833</v>
      </c>
      <c r="F853" s="36">
        <f t="shared" si="478"/>
        <v>816.17983147016662</v>
      </c>
      <c r="G853" s="36">
        <f t="shared" si="478"/>
        <v>1901.8906291806534</v>
      </c>
      <c r="H853" s="36">
        <f t="shared" si="478"/>
        <v>874.78800006618894</v>
      </c>
      <c r="I853" s="36">
        <f t="shared" si="478"/>
        <v>4406.6734225115924</v>
      </c>
      <c r="J853" s="36">
        <f t="shared" si="478"/>
        <v>4917.4071874881101</v>
      </c>
      <c r="K853" s="36" t="s">
        <v>131</v>
      </c>
      <c r="L853" s="37" t="s">
        <v>131</v>
      </c>
    </row>
    <row r="854" spans="1:12" s="81" customFormat="1" ht="20.100000000000001" hidden="1" customHeight="1" thickBot="1" x14ac:dyDescent="0.3">
      <c r="A854" s="327" t="s">
        <v>1050</v>
      </c>
      <c r="B854" s="321" t="s">
        <v>89</v>
      </c>
      <c r="C854" s="9">
        <v>6220.3572634635684</v>
      </c>
      <c r="D854" s="9">
        <v>6902.1921299999995</v>
      </c>
      <c r="E854" s="9">
        <v>992.54327930306238</v>
      </c>
      <c r="F854" s="9">
        <v>566.79099419218585</v>
      </c>
      <c r="G854" s="9">
        <v>1389.8747993664201</v>
      </c>
      <c r="H854" s="9">
        <v>611.50354593453005</v>
      </c>
      <c r="I854" s="9">
        <v>3282.8033310454066</v>
      </c>
      <c r="J854" s="9">
        <v>3660.4905374868003</v>
      </c>
      <c r="K854" s="9" t="s">
        <v>131</v>
      </c>
      <c r="L854" s="20" t="s">
        <v>131</v>
      </c>
    </row>
    <row r="855" spans="1:12" s="81" customFormat="1" ht="20.100000000000001" customHeight="1" x14ac:dyDescent="0.25">
      <c r="A855" s="327"/>
      <c r="B855" s="322"/>
      <c r="C855" s="7">
        <f>C854/14.06*19.53*1.039</f>
        <v>8977.3425940473535</v>
      </c>
      <c r="D855" s="7">
        <f t="shared" ref="D855:J855" si="479">D854/14.06*19.53*1.039</f>
        <v>9961.3801549471609</v>
      </c>
      <c r="E855" s="7">
        <f t="shared" si="479"/>
        <v>1432.4580856568684</v>
      </c>
      <c r="F855" s="7">
        <f t="shared" si="479"/>
        <v>818.00396963867365</v>
      </c>
      <c r="G855" s="7">
        <f t="shared" si="479"/>
        <v>2005.8947916116363</v>
      </c>
      <c r="H855" s="7">
        <f t="shared" si="479"/>
        <v>882.53400838786092</v>
      </c>
      <c r="I855" s="7">
        <f t="shared" si="479"/>
        <v>4737.8066762783883</v>
      </c>
      <c r="J855" s="7">
        <f t="shared" si="479"/>
        <v>5282.8923203986333</v>
      </c>
      <c r="K855" s="7" t="s">
        <v>131</v>
      </c>
      <c r="L855" s="8" t="s">
        <v>131</v>
      </c>
    </row>
    <row r="856" spans="1:12" s="81" customFormat="1" ht="20.100000000000001" customHeight="1" x14ac:dyDescent="0.25">
      <c r="A856" s="327"/>
      <c r="B856" s="322"/>
      <c r="C856" s="35">
        <f>C855*0.0214</f>
        <v>192.11513151261335</v>
      </c>
      <c r="D856" s="35">
        <f t="shared" ref="D856:J856" si="480">D855*0.0214</f>
        <v>213.17353531586923</v>
      </c>
      <c r="E856" s="35">
        <f t="shared" si="480"/>
        <v>30.654603033056983</v>
      </c>
      <c r="F856" s="35">
        <f t="shared" si="480"/>
        <v>17.505284950267615</v>
      </c>
      <c r="G856" s="35">
        <f t="shared" si="480"/>
        <v>42.926148540489017</v>
      </c>
      <c r="H856" s="35">
        <f t="shared" si="480"/>
        <v>18.886227779500224</v>
      </c>
      <c r="I856" s="35">
        <f t="shared" si="480"/>
        <v>101.3890628723575</v>
      </c>
      <c r="J856" s="35">
        <f t="shared" si="480"/>
        <v>113.05389565653074</v>
      </c>
      <c r="K856" s="35" t="s">
        <v>131</v>
      </c>
      <c r="L856" s="62" t="s">
        <v>131</v>
      </c>
    </row>
    <row r="857" spans="1:12" s="81" customFormat="1" ht="20.100000000000001" hidden="1" customHeight="1" x14ac:dyDescent="0.25">
      <c r="A857" s="327"/>
      <c r="B857" s="322"/>
      <c r="C857" s="16">
        <f>11211/568.2</f>
        <v>19.730728616684264</v>
      </c>
      <c r="D857" s="16">
        <f>9979/284</f>
        <v>35.137323943661968</v>
      </c>
      <c r="E857" s="16">
        <f>8007/568.2</f>
        <v>14.091869060190072</v>
      </c>
      <c r="F857" s="16">
        <f>8986/2/568.2</f>
        <v>7.9074269623372047</v>
      </c>
      <c r="G857" s="16">
        <f>8732/568.2</f>
        <v>15.367828229496656</v>
      </c>
      <c r="H857" s="16">
        <f>F857</f>
        <v>7.9074269623372047</v>
      </c>
      <c r="I857" s="16">
        <f>10259/568.2</f>
        <v>18.055262231608587</v>
      </c>
      <c r="J857" s="16">
        <f>7293/568.2</f>
        <v>12.835269271383314</v>
      </c>
      <c r="K857" s="16" t="s">
        <v>131</v>
      </c>
      <c r="L857" s="15" t="s">
        <v>131</v>
      </c>
    </row>
    <row r="858" spans="1:12" s="81" customFormat="1" ht="20.100000000000001" hidden="1" customHeight="1" thickBot="1" x14ac:dyDescent="0.3">
      <c r="A858" s="327"/>
      <c r="B858" s="322"/>
      <c r="C858" s="18">
        <f>(1/568.2)*83931.72/1.5*1.2*P4</f>
        <v>146.36762762274213</v>
      </c>
      <c r="D858" s="18">
        <f>(1/284)*29376*1.2*P4</f>
        <v>153.73958997776128</v>
      </c>
      <c r="E858" s="18">
        <f>(1/568.2)*55954.14*1.2*P4</f>
        <v>146.3667382392041</v>
      </c>
      <c r="F858" s="18">
        <f>(1/568.2)*41965.86/1.5*1.2*P4</f>
        <v>73.183813811371067</v>
      </c>
      <c r="G858" s="19">
        <f>(1/568.2)*41965.86/1.5*1.2*P4</f>
        <v>73.183813811371067</v>
      </c>
      <c r="H858" s="19">
        <f>(1/568.2)*41965.86/1.5*1.2*P4</f>
        <v>73.183813811371067</v>
      </c>
      <c r="I858" s="19">
        <f>(1/568.2)*55254.42/1.5*1.2*P4</f>
        <v>96.357591278608325</v>
      </c>
      <c r="J858" s="19">
        <f>(1/568.2)*68544/1.5*1.2*P4</f>
        <v>119.53314751292166</v>
      </c>
      <c r="K858" s="9" t="s">
        <v>131</v>
      </c>
      <c r="L858" s="20" t="s">
        <v>131</v>
      </c>
    </row>
    <row r="859" spans="1:12" s="81" customFormat="1" ht="20.100000000000001" customHeight="1" thickBot="1" x14ac:dyDescent="0.3">
      <c r="A859" s="327"/>
      <c r="B859" s="323"/>
      <c r="C859" s="18">
        <f>C858+C857</f>
        <v>166.09835623942641</v>
      </c>
      <c r="D859" s="18">
        <f t="shared" ref="D859:J859" si="481">D858+D857</f>
        <v>188.87691392142324</v>
      </c>
      <c r="E859" s="18">
        <f t="shared" si="481"/>
        <v>160.45860729939417</v>
      </c>
      <c r="F859" s="18">
        <f t="shared" si="481"/>
        <v>81.091240773708279</v>
      </c>
      <c r="G859" s="18">
        <f t="shared" si="481"/>
        <v>88.551642040867719</v>
      </c>
      <c r="H859" s="18">
        <f t="shared" si="481"/>
        <v>81.091240773708279</v>
      </c>
      <c r="I859" s="18">
        <f t="shared" si="481"/>
        <v>114.41285351021691</v>
      </c>
      <c r="J859" s="18">
        <f t="shared" si="481"/>
        <v>132.36841678430497</v>
      </c>
      <c r="K859" s="18" t="s">
        <v>131</v>
      </c>
      <c r="L859" s="34" t="s">
        <v>131</v>
      </c>
    </row>
    <row r="860" spans="1:12" s="81" customFormat="1" ht="20.100000000000001" customHeight="1" thickBot="1" x14ac:dyDescent="0.3">
      <c r="A860" s="328"/>
      <c r="B860" s="259" t="s">
        <v>212</v>
      </c>
      <c r="C860" s="36">
        <f>SUM(C855:C858)</f>
        <v>9335.5560817993937</v>
      </c>
      <c r="D860" s="36">
        <f t="shared" ref="D860:J860" si="482">SUM(D855:D858)</f>
        <v>10363.430604184454</v>
      </c>
      <c r="E860" s="36">
        <f t="shared" si="482"/>
        <v>1623.5712959893194</v>
      </c>
      <c r="F860" s="36">
        <f t="shared" si="482"/>
        <v>916.60049536264955</v>
      </c>
      <c r="G860" s="36">
        <f t="shared" si="482"/>
        <v>2137.3725821929934</v>
      </c>
      <c r="H860" s="36">
        <f t="shared" si="482"/>
        <v>982.51147694106953</v>
      </c>
      <c r="I860" s="36">
        <f t="shared" si="482"/>
        <v>4953.6085926609621</v>
      </c>
      <c r="J860" s="36">
        <f t="shared" si="482"/>
        <v>5528.3146328394687</v>
      </c>
      <c r="K860" s="36" t="s">
        <v>131</v>
      </c>
      <c r="L860" s="37" t="s">
        <v>131</v>
      </c>
    </row>
    <row r="861" spans="1:12" s="81" customFormat="1" ht="20.100000000000001" hidden="1" customHeight="1" thickBot="1" x14ac:dyDescent="0.3">
      <c r="A861" s="327" t="s">
        <v>1051</v>
      </c>
      <c r="B861" s="321" t="s">
        <v>90</v>
      </c>
      <c r="C861" s="9">
        <v>4261.452135397024</v>
      </c>
      <c r="D861" s="9">
        <v>5830.8164353103884</v>
      </c>
      <c r="E861" s="9">
        <v>696.00145697533753</v>
      </c>
      <c r="F861" s="9">
        <v>398.8448282390442</v>
      </c>
      <c r="G861" s="9">
        <v>911.96326622228287</v>
      </c>
      <c r="H861" s="9">
        <v>307.0302881477063</v>
      </c>
      <c r="I861" s="9">
        <v>2061.202508570263</v>
      </c>
      <c r="J861" s="9">
        <v>2888.6055606877017</v>
      </c>
      <c r="K861" s="9">
        <v>637.54964728342077</v>
      </c>
      <c r="L861" s="20" t="s">
        <v>131</v>
      </c>
    </row>
    <row r="862" spans="1:12" s="81" customFormat="1" ht="20.100000000000001" customHeight="1" x14ac:dyDescent="0.25">
      <c r="A862" s="327"/>
      <c r="B862" s="322"/>
      <c r="C862" s="10">
        <f>C861/14.06*19.53*1.039</f>
        <v>6150.21198095816</v>
      </c>
      <c r="D862" s="10">
        <f t="shared" ref="D862:K862" si="483">D861/14.06*19.53*1.039</f>
        <v>8415.1495686980616</v>
      </c>
      <c r="E862" s="10">
        <f t="shared" si="483"/>
        <v>1004.4830643287871</v>
      </c>
      <c r="F862" s="10">
        <f t="shared" si="483"/>
        <v>575.62074223565901</v>
      </c>
      <c r="G862" s="10">
        <f t="shared" si="483"/>
        <v>1316.1634175181157</v>
      </c>
      <c r="H862" s="10">
        <f t="shared" si="483"/>
        <v>443.11218258166201</v>
      </c>
      <c r="I862" s="10">
        <f t="shared" si="483"/>
        <v>2974.7682152972934</v>
      </c>
      <c r="J862" s="10">
        <f t="shared" si="483"/>
        <v>4168.892659860584</v>
      </c>
      <c r="K862" s="10">
        <f t="shared" si="483"/>
        <v>920.12425684861796</v>
      </c>
      <c r="L862" s="26" t="s">
        <v>131</v>
      </c>
    </row>
    <row r="863" spans="1:12" s="81" customFormat="1" ht="20.100000000000001" customHeight="1" x14ac:dyDescent="0.25">
      <c r="A863" s="327"/>
      <c r="B863" s="322"/>
      <c r="C863" s="16">
        <f>C862*0.0214</f>
        <v>131.61453639250462</v>
      </c>
      <c r="D863" s="16">
        <f t="shared" ref="D863:K863" si="484">D862*0.0214</f>
        <v>180.08420077013849</v>
      </c>
      <c r="E863" s="16">
        <f t="shared" si="484"/>
        <v>21.495937576636042</v>
      </c>
      <c r="F863" s="16">
        <f t="shared" si="484"/>
        <v>12.318283883843103</v>
      </c>
      <c r="G863" s="16">
        <f t="shared" si="484"/>
        <v>28.165897134887675</v>
      </c>
      <c r="H863" s="16">
        <f t="shared" si="484"/>
        <v>9.4826007072475669</v>
      </c>
      <c r="I863" s="16">
        <f t="shared" si="484"/>
        <v>63.660039807362075</v>
      </c>
      <c r="J863" s="16">
        <f t="shared" si="484"/>
        <v>89.214302921016497</v>
      </c>
      <c r="K863" s="16">
        <f t="shared" si="484"/>
        <v>19.690659096560424</v>
      </c>
      <c r="L863" s="15" t="s">
        <v>131</v>
      </c>
    </row>
    <row r="864" spans="1:12" s="81" customFormat="1" ht="20.100000000000001" hidden="1" customHeight="1" x14ac:dyDescent="0.25">
      <c r="A864" s="327"/>
      <c r="B864" s="322"/>
      <c r="C864" s="16">
        <f>17680/1470.7</f>
        <v>12.021486367036104</v>
      </c>
      <c r="D864" s="16">
        <f>14778/515</f>
        <v>28.695145631067962</v>
      </c>
      <c r="E864" s="16">
        <f>10496/1470.7</f>
        <v>7.1367376079417966</v>
      </c>
      <c r="F864" s="16">
        <f>15667/2/1470.7</f>
        <v>5.3263751954851433</v>
      </c>
      <c r="G864" s="16">
        <f>13030/1470.7</f>
        <v>8.8597266607737808</v>
      </c>
      <c r="H864" s="16">
        <f>F864</f>
        <v>5.3263751954851433</v>
      </c>
      <c r="I864" s="16">
        <f>16326/1470.7</f>
        <v>11.10083633643843</v>
      </c>
      <c r="J864" s="16">
        <f>8450/1470.7</f>
        <v>5.7455633371863737</v>
      </c>
      <c r="K864" s="16">
        <f>J864</f>
        <v>5.7455633371863737</v>
      </c>
      <c r="L864" s="15" t="s">
        <v>131</v>
      </c>
    </row>
    <row r="865" spans="1:12" s="81" customFormat="1" ht="20.100000000000001" hidden="1" customHeight="1" thickBot="1" x14ac:dyDescent="0.3">
      <c r="A865" s="327"/>
      <c r="B865" s="322"/>
      <c r="C865" s="18">
        <f>(1/1470.2)*135909.9*1.2*P4</f>
        <v>137.39979144255344</v>
      </c>
      <c r="D865" s="18">
        <f>(1/1470.2)*115524.18*1.2*P4</f>
        <v>116.79059611236565</v>
      </c>
      <c r="E865" s="18">
        <f>(1/1470.2)*90606.6*1.2*P4</f>
        <v>91.599860961702319</v>
      </c>
      <c r="F865" s="18">
        <f>(1/1470.2)*67955.46*1.2*P4</f>
        <v>68.700411312073541</v>
      </c>
      <c r="G865" s="19">
        <f>(1/1470.2)*67955.46*1.2*P4</f>
        <v>68.700411312073541</v>
      </c>
      <c r="H865" s="19">
        <f>(1/1470.2)*67955.46*1.2*P4</f>
        <v>68.700411312073541</v>
      </c>
      <c r="I865" s="19">
        <f>(1/1470.2)*89474.4*1.2*P4</f>
        <v>90.45524939277864</v>
      </c>
      <c r="J865" s="19">
        <f>(1/1470.2)*110993.34*1.2*P4</f>
        <v>112.21008747348372</v>
      </c>
      <c r="K865" s="18">
        <f>(1/1470.2)*47568.72*1.2*P4</f>
        <v>48.090184800292114</v>
      </c>
      <c r="L865" s="20" t="s">
        <v>131</v>
      </c>
    </row>
    <row r="866" spans="1:12" s="81" customFormat="1" ht="20.100000000000001" customHeight="1" thickBot="1" x14ac:dyDescent="0.3">
      <c r="A866" s="327"/>
      <c r="B866" s="323"/>
      <c r="C866" s="18">
        <f>C865+C864</f>
        <v>149.42127780958953</v>
      </c>
      <c r="D866" s="18">
        <f t="shared" ref="D866:K866" si="485">D865+D864</f>
        <v>145.48574174343361</v>
      </c>
      <c r="E866" s="18">
        <f t="shared" si="485"/>
        <v>98.736598569644116</v>
      </c>
      <c r="F866" s="18">
        <f t="shared" si="485"/>
        <v>74.026786507558683</v>
      </c>
      <c r="G866" s="18">
        <f t="shared" si="485"/>
        <v>77.560137972847315</v>
      </c>
      <c r="H866" s="18">
        <f t="shared" si="485"/>
        <v>74.026786507558683</v>
      </c>
      <c r="I866" s="18">
        <f t="shared" si="485"/>
        <v>101.55608572921707</v>
      </c>
      <c r="J866" s="18">
        <f t="shared" si="485"/>
        <v>117.95565081067009</v>
      </c>
      <c r="K866" s="18">
        <f t="shared" si="485"/>
        <v>53.83574813747849</v>
      </c>
      <c r="L866" s="34" t="s">
        <v>131</v>
      </c>
    </row>
    <row r="867" spans="1:12" s="81" customFormat="1" ht="20.100000000000001" customHeight="1" thickBot="1" x14ac:dyDescent="0.3">
      <c r="A867" s="328"/>
      <c r="B867" s="265" t="s">
        <v>212</v>
      </c>
      <c r="C867" s="18">
        <f>SUM(C862:C865)</f>
        <v>6431.2477951602541</v>
      </c>
      <c r="D867" s="18">
        <f t="shared" ref="D867:K867" si="486">SUM(D862:D865)</f>
        <v>8740.7195112116315</v>
      </c>
      <c r="E867" s="18">
        <f t="shared" si="486"/>
        <v>1124.7156004750673</v>
      </c>
      <c r="F867" s="18">
        <f t="shared" si="486"/>
        <v>661.96581262706093</v>
      </c>
      <c r="G867" s="18">
        <f t="shared" si="486"/>
        <v>1421.8894526258507</v>
      </c>
      <c r="H867" s="18">
        <f t="shared" si="486"/>
        <v>526.62156979646829</v>
      </c>
      <c r="I867" s="18">
        <f t="shared" si="486"/>
        <v>3139.9843408338725</v>
      </c>
      <c r="J867" s="18">
        <f t="shared" si="486"/>
        <v>4376.0626135922703</v>
      </c>
      <c r="K867" s="18">
        <f t="shared" si="486"/>
        <v>993.65066408265693</v>
      </c>
      <c r="L867" s="34" t="s">
        <v>131</v>
      </c>
    </row>
    <row r="868" spans="1:12" s="73" customFormat="1" ht="20.100000000000001" hidden="1" customHeight="1" thickBot="1" x14ac:dyDescent="0.3">
      <c r="A868" s="327" t="s">
        <v>1052</v>
      </c>
      <c r="B868" s="321" t="s">
        <v>179</v>
      </c>
      <c r="C868" s="9">
        <v>4204.5448458681512</v>
      </c>
      <c r="D868" s="9">
        <v>5718.1243262500002</v>
      </c>
      <c r="E868" s="9">
        <v>641.04049326833785</v>
      </c>
      <c r="F868" s="9">
        <v>446.19953272980496</v>
      </c>
      <c r="G868" s="9">
        <v>1040.559084726091</v>
      </c>
      <c r="H868" s="9">
        <v>517.96571657381617</v>
      </c>
      <c r="I868" s="9">
        <v>1653.0339965181058</v>
      </c>
      <c r="J868" s="9">
        <v>2070.862524373259</v>
      </c>
      <c r="K868" s="9">
        <v>464.61212116991641</v>
      </c>
      <c r="L868" s="20" t="s">
        <v>131</v>
      </c>
    </row>
    <row r="869" spans="1:12" s="73" customFormat="1" ht="20.100000000000001" customHeight="1" x14ac:dyDescent="0.25">
      <c r="A869" s="327"/>
      <c r="B869" s="322"/>
      <c r="C869" s="10">
        <f>C868/14.06*19.53*1.039</f>
        <v>6068.0822555161722</v>
      </c>
      <c r="D869" s="10">
        <f t="shared" ref="D869:K869" si="487">D868/14.06*19.53*1.039</f>
        <v>8252.5100887082026</v>
      </c>
      <c r="E869" s="10">
        <f t="shared" si="487"/>
        <v>925.1623147964674</v>
      </c>
      <c r="F869" s="10">
        <f t="shared" si="487"/>
        <v>643.96398807307253</v>
      </c>
      <c r="G869" s="10">
        <f t="shared" si="487"/>
        <v>1501.7554454312856</v>
      </c>
      <c r="H869" s="10">
        <f t="shared" si="487"/>
        <v>747.53836358672879</v>
      </c>
      <c r="I869" s="10">
        <f t="shared" si="487"/>
        <v>2385.6913482309069</v>
      </c>
      <c r="J869" s="10">
        <f t="shared" si="487"/>
        <v>2988.7097411059121</v>
      </c>
      <c r="K869" s="10">
        <f t="shared" si="487"/>
        <v>670.53739977097848</v>
      </c>
      <c r="L869" s="26" t="s">
        <v>131</v>
      </c>
    </row>
    <row r="870" spans="1:12" s="73" customFormat="1" ht="20.100000000000001" customHeight="1" x14ac:dyDescent="0.25">
      <c r="A870" s="327"/>
      <c r="B870" s="322"/>
      <c r="C870" s="16">
        <f>C869*0.0214</f>
        <v>129.85696026804607</v>
      </c>
      <c r="D870" s="16">
        <f t="shared" ref="D870:K870" si="488">D869*0.0214</f>
        <v>176.60371589835552</v>
      </c>
      <c r="E870" s="16">
        <f t="shared" si="488"/>
        <v>19.798473536644401</v>
      </c>
      <c r="F870" s="16">
        <f t="shared" si="488"/>
        <v>13.780829344763751</v>
      </c>
      <c r="G870" s="16">
        <f t="shared" si="488"/>
        <v>32.137566532229506</v>
      </c>
      <c r="H870" s="16">
        <f t="shared" si="488"/>
        <v>15.997320980755996</v>
      </c>
      <c r="I870" s="16">
        <f t="shared" si="488"/>
        <v>51.053794852141408</v>
      </c>
      <c r="J870" s="16">
        <f t="shared" si="488"/>
        <v>63.958388459666516</v>
      </c>
      <c r="K870" s="16">
        <f t="shared" si="488"/>
        <v>14.34950035509894</v>
      </c>
      <c r="L870" s="15" t="s">
        <v>131</v>
      </c>
    </row>
    <row r="871" spans="1:12" s="73" customFormat="1" ht="20.100000000000001" hidden="1" customHeight="1" x14ac:dyDescent="0.25">
      <c r="A871" s="327"/>
      <c r="B871" s="322"/>
      <c r="C871" s="16">
        <f>32743/3821.1</f>
        <v>8.5689984559420065</v>
      </c>
      <c r="D871" s="16">
        <f>25952/1003</f>
        <v>25.874376869391824</v>
      </c>
      <c r="E871" s="16">
        <f>16977/3821.1</f>
        <v>4.4429614508911044</v>
      </c>
      <c r="F871" s="16">
        <f>47535/2/3821.1</f>
        <v>6.2200675198241342</v>
      </c>
      <c r="G871" s="16">
        <f>44110/3821.1</f>
        <v>11.543796289026721</v>
      </c>
      <c r="H871" s="16">
        <f>F871</f>
        <v>6.2200675198241342</v>
      </c>
      <c r="I871" s="16">
        <f>62945/3821.1</f>
        <v>16.473005155583472</v>
      </c>
      <c r="J871" s="16">
        <f>11144/3821.1</f>
        <v>2.916437675015048</v>
      </c>
      <c r="K871" s="16">
        <f>J871</f>
        <v>2.916437675015048</v>
      </c>
      <c r="L871" s="15" t="s">
        <v>131</v>
      </c>
    </row>
    <row r="872" spans="1:12" s="73" customFormat="1" ht="20.100000000000001" hidden="1" customHeight="1" thickBot="1" x14ac:dyDescent="0.3">
      <c r="A872" s="327"/>
      <c r="B872" s="322"/>
      <c r="C872" s="18">
        <f>(1/1292.4)*186995.58*1.2*P4</f>
        <v>215.05314140609875</v>
      </c>
      <c r="D872" s="18">
        <f>(1/1292.4)*158946.6*1.2*P4</f>
        <v>182.79558076088546</v>
      </c>
      <c r="E872" s="18">
        <f>(1/1292.4)*124663.38*1.2*P4</f>
        <v>143.36836992244534</v>
      </c>
      <c r="F872" s="18">
        <f>(1/1292.4)*93498.3*1.2*P4</f>
        <v>107.52715722548012</v>
      </c>
      <c r="G872" s="18">
        <f>(1/1292.4)*93498.3*1.2*P4</f>
        <v>107.52715722548012</v>
      </c>
      <c r="H872" s="18">
        <f>(1/1292.4)*93498.3*1.2*P4</f>
        <v>107.52715722548012</v>
      </c>
      <c r="I872" s="19">
        <f>(1/1292.4)*123105.84*1.2*P4</f>
        <v>141.57713041900013</v>
      </c>
      <c r="J872" s="19">
        <f>(1/1292.4)*152713.38*1.2*P4</f>
        <v>175.6271036125201</v>
      </c>
      <c r="K872" s="18">
        <f>(1/1292.4)*65448.3*1.2*P4</f>
        <v>75.268423535405347</v>
      </c>
      <c r="L872" s="20" t="s">
        <v>131</v>
      </c>
    </row>
    <row r="873" spans="1:12" s="73" customFormat="1" ht="20.100000000000001" customHeight="1" thickBot="1" x14ac:dyDescent="0.3">
      <c r="A873" s="327"/>
      <c r="B873" s="323"/>
      <c r="C873" s="18">
        <f>C872+C871</f>
        <v>223.62213986204074</v>
      </c>
      <c r="D873" s="18">
        <f t="shared" ref="D873:K873" si="489">D872+D871</f>
        <v>208.66995763027728</v>
      </c>
      <c r="E873" s="18">
        <f t="shared" si="489"/>
        <v>147.81133137333643</v>
      </c>
      <c r="F873" s="18">
        <f t="shared" si="489"/>
        <v>113.74722474530427</v>
      </c>
      <c r="G873" s="18">
        <f t="shared" si="489"/>
        <v>119.07095351450684</v>
      </c>
      <c r="H873" s="18">
        <f t="shared" si="489"/>
        <v>113.74722474530427</v>
      </c>
      <c r="I873" s="18">
        <f t="shared" si="489"/>
        <v>158.05013557458361</v>
      </c>
      <c r="J873" s="18">
        <f t="shared" si="489"/>
        <v>178.54354128753516</v>
      </c>
      <c r="K873" s="18">
        <f t="shared" si="489"/>
        <v>78.184861210420394</v>
      </c>
      <c r="L873" s="34" t="s">
        <v>131</v>
      </c>
    </row>
    <row r="874" spans="1:12" s="73" customFormat="1" ht="20.100000000000001" customHeight="1" thickBot="1" x14ac:dyDescent="0.3">
      <c r="A874" s="328"/>
      <c r="B874" s="259" t="s">
        <v>212</v>
      </c>
      <c r="C874" s="36">
        <f>SUM(C869:C872)</f>
        <v>6421.5613556462595</v>
      </c>
      <c r="D874" s="36">
        <f t="shared" ref="D874:K874" si="490">SUM(D869:D872)</f>
        <v>8637.7837622368352</v>
      </c>
      <c r="E874" s="36">
        <f t="shared" si="490"/>
        <v>1092.7721197064482</v>
      </c>
      <c r="F874" s="36">
        <f t="shared" si="490"/>
        <v>771.49204216314058</v>
      </c>
      <c r="G874" s="36">
        <f t="shared" si="490"/>
        <v>1652.9639654780219</v>
      </c>
      <c r="H874" s="36">
        <f t="shared" si="490"/>
        <v>877.282909312789</v>
      </c>
      <c r="I874" s="36">
        <f t="shared" si="490"/>
        <v>2594.795278657632</v>
      </c>
      <c r="J874" s="36">
        <f t="shared" si="490"/>
        <v>3231.2116708531134</v>
      </c>
      <c r="K874" s="36">
        <f t="shared" si="490"/>
        <v>763.07176133649773</v>
      </c>
      <c r="L874" s="37" t="s">
        <v>131</v>
      </c>
    </row>
    <row r="875" spans="1:12" s="81" customFormat="1" ht="20.100000000000001" hidden="1" customHeight="1" thickBot="1" x14ac:dyDescent="0.3">
      <c r="A875" s="327" t="s">
        <v>1053</v>
      </c>
      <c r="B875" s="321" t="s">
        <v>91</v>
      </c>
      <c r="C875" s="9">
        <v>4134.4728484044472</v>
      </c>
      <c r="D875" s="9">
        <v>7580.5578125237198</v>
      </c>
      <c r="E875" s="9">
        <v>594.10594012190745</v>
      </c>
      <c r="F875" s="9">
        <v>413.50821556113311</v>
      </c>
      <c r="G875" s="9">
        <v>964.20916758694887</v>
      </c>
      <c r="H875" s="9">
        <v>480.13281405521695</v>
      </c>
      <c r="I875" s="9">
        <v>1532.0010595912513</v>
      </c>
      <c r="J875" s="9">
        <v>1923.6937643599858</v>
      </c>
      <c r="K875" s="9">
        <v>483.06776773036938</v>
      </c>
      <c r="L875" s="20" t="s">
        <v>131</v>
      </c>
    </row>
    <row r="876" spans="1:12" s="81" customFormat="1" ht="20.100000000000001" customHeight="1" x14ac:dyDescent="0.25">
      <c r="A876" s="327"/>
      <c r="B876" s="322"/>
      <c r="C876" s="10">
        <f>C875/14.06*19.53*1.039</f>
        <v>5966.9529632847125</v>
      </c>
      <c r="D876" s="10">
        <f t="shared" ref="D876:K876" si="491">D875/14.06*19.53*1.039</f>
        <v>10940.410920885715</v>
      </c>
      <c r="E876" s="10">
        <f t="shared" si="491"/>
        <v>857.42543968659345</v>
      </c>
      <c r="F876" s="10">
        <f t="shared" si="491"/>
        <v>596.78323274931563</v>
      </c>
      <c r="G876" s="10">
        <f t="shared" si="491"/>
        <v>1391.5657353946699</v>
      </c>
      <c r="H876" s="10">
        <f t="shared" si="491"/>
        <v>692.93717062445398</v>
      </c>
      <c r="I876" s="10">
        <f t="shared" si="491"/>
        <v>2211.014220545946</v>
      </c>
      <c r="J876" s="10">
        <f t="shared" si="491"/>
        <v>2776.3128767745798</v>
      </c>
      <c r="K876" s="10">
        <f t="shared" si="491"/>
        <v>697.17295379952384</v>
      </c>
      <c r="L876" s="26" t="s">
        <v>131</v>
      </c>
    </row>
    <row r="877" spans="1:12" s="81" customFormat="1" ht="20.100000000000001" customHeight="1" x14ac:dyDescent="0.25">
      <c r="A877" s="327"/>
      <c r="B877" s="322"/>
      <c r="C877" s="16">
        <f>C875*0.0214</f>
        <v>88.477718955855167</v>
      </c>
      <c r="D877" s="16">
        <f t="shared" ref="D877:K877" si="492">D875*0.0214</f>
        <v>162.2239371880076</v>
      </c>
      <c r="E877" s="16">
        <f t="shared" si="492"/>
        <v>12.713867118608819</v>
      </c>
      <c r="F877" s="16">
        <f t="shared" si="492"/>
        <v>8.8490758130082483</v>
      </c>
      <c r="G877" s="16">
        <f t="shared" si="492"/>
        <v>20.634076186360705</v>
      </c>
      <c r="H877" s="16">
        <f t="shared" si="492"/>
        <v>10.274842220781641</v>
      </c>
      <c r="I877" s="16">
        <f t="shared" si="492"/>
        <v>32.784822675252776</v>
      </c>
      <c r="J877" s="16">
        <f t="shared" si="492"/>
        <v>41.167046557303692</v>
      </c>
      <c r="K877" s="16">
        <f t="shared" si="492"/>
        <v>10.337650229429904</v>
      </c>
      <c r="L877" s="15" t="s">
        <v>131</v>
      </c>
    </row>
    <row r="878" spans="1:12" s="81" customFormat="1" ht="20.100000000000001" hidden="1" customHeight="1" x14ac:dyDescent="0.25">
      <c r="A878" s="327"/>
      <c r="B878" s="322"/>
      <c r="C878" s="16">
        <f>16039/1394.5</f>
        <v>11.5016134815346</v>
      </c>
      <c r="D878" s="16">
        <f>13561/350</f>
        <v>38.745714285714286</v>
      </c>
      <c r="E878" s="16">
        <f>10285/1394.5</f>
        <v>7.3754033703836503</v>
      </c>
      <c r="F878" s="16">
        <f>15188/2/1394.5</f>
        <v>5.4456794550017928</v>
      </c>
      <c r="G878" s="16">
        <f>12689/1394.5</f>
        <v>9.0993187522409471</v>
      </c>
      <c r="H878" s="16">
        <f>F878</f>
        <v>5.4456794550017928</v>
      </c>
      <c r="I878" s="16">
        <f>15813/1394.5</f>
        <v>11.339548225170311</v>
      </c>
      <c r="J878" s="16">
        <f>8157/1394.5</f>
        <v>5.8494083901039797</v>
      </c>
      <c r="K878" s="16">
        <f>J878</f>
        <v>5.8494083901039797</v>
      </c>
      <c r="L878" s="15" t="s">
        <v>131</v>
      </c>
    </row>
    <row r="879" spans="1:12" s="81" customFormat="1" ht="20.100000000000001" hidden="1" customHeight="1" thickBot="1" x14ac:dyDescent="0.3">
      <c r="A879" s="327"/>
      <c r="B879" s="322"/>
      <c r="C879" s="18">
        <f>(1/1394.5)*188649*1.2*P4</f>
        <v>201.07005087580907</v>
      </c>
      <c r="D879" s="18">
        <f>(1/350)*66027.66/2*1.2*P4</f>
        <v>140.19717586114285</v>
      </c>
      <c r="E879" s="18">
        <f>(1/1394.5)*125766*1.2*P4</f>
        <v>134.04670058387273</v>
      </c>
      <c r="F879" s="18">
        <f>(1/1394.5)*94324.5*1.2*P4</f>
        <v>100.53502543790454</v>
      </c>
      <c r="G879" s="19">
        <f>(1/1394.5)*94324.5*1.2*P4</f>
        <v>100.53502543790454</v>
      </c>
      <c r="H879" s="19">
        <f>(1/1394.5)*94324.5*1.2*P4</f>
        <v>100.53502543790454</v>
      </c>
      <c r="I879" s="19">
        <f>(1/1394.5)*124194.18*1.2*P4</f>
        <v>132.37138861631595</v>
      </c>
      <c r="J879" s="19">
        <f>(1/1394.5)*154063.86*1.2*P4</f>
        <v>164.20775179472739</v>
      </c>
      <c r="K879" s="18">
        <f>(1/1394.5)*66027.66*1.2*P4</f>
        <v>70.375061386016483</v>
      </c>
      <c r="L879" s="34" t="s">
        <v>131</v>
      </c>
    </row>
    <row r="880" spans="1:12" s="81" customFormat="1" ht="20.100000000000001" customHeight="1" thickBot="1" x14ac:dyDescent="0.3">
      <c r="A880" s="327"/>
      <c r="B880" s="323"/>
      <c r="C880" s="18">
        <f>C879+C878</f>
        <v>212.57166435734368</v>
      </c>
      <c r="D880" s="18">
        <f t="shared" ref="D880:K880" si="493">D879+D878</f>
        <v>178.94289014685714</v>
      </c>
      <c r="E880" s="18">
        <f t="shared" si="493"/>
        <v>141.42210395425639</v>
      </c>
      <c r="F880" s="18">
        <f t="shared" si="493"/>
        <v>105.98070489290633</v>
      </c>
      <c r="G880" s="18">
        <f t="shared" si="493"/>
        <v>109.63434419014548</v>
      </c>
      <c r="H880" s="18">
        <f t="shared" si="493"/>
        <v>105.98070489290633</v>
      </c>
      <c r="I880" s="18">
        <f t="shared" si="493"/>
        <v>143.71093684148627</v>
      </c>
      <c r="J880" s="18">
        <f t="shared" si="493"/>
        <v>170.05716018483136</v>
      </c>
      <c r="K880" s="18">
        <f t="shared" si="493"/>
        <v>76.224469776120458</v>
      </c>
      <c r="L880" s="34" t="s">
        <v>131</v>
      </c>
    </row>
    <row r="881" spans="1:12" s="81" customFormat="1" ht="20.100000000000001" customHeight="1" thickBot="1" x14ac:dyDescent="0.3">
      <c r="A881" s="328"/>
      <c r="B881" s="259" t="s">
        <v>212</v>
      </c>
      <c r="C881" s="36">
        <f t="shared" ref="C881:K881" si="494">SUM(C876:C879)</f>
        <v>6268.0023465979111</v>
      </c>
      <c r="D881" s="36">
        <f t="shared" si="494"/>
        <v>11281.577748220581</v>
      </c>
      <c r="E881" s="36">
        <f t="shared" si="494"/>
        <v>1011.5614107594587</v>
      </c>
      <c r="F881" s="36">
        <f t="shared" si="494"/>
        <v>711.6130134552302</v>
      </c>
      <c r="G881" s="36">
        <f t="shared" si="494"/>
        <v>1521.834155771176</v>
      </c>
      <c r="H881" s="36">
        <f t="shared" si="494"/>
        <v>809.19271773814205</v>
      </c>
      <c r="I881" s="36">
        <f t="shared" si="494"/>
        <v>2387.5099800626849</v>
      </c>
      <c r="J881" s="36">
        <f t="shared" si="494"/>
        <v>2987.537083516715</v>
      </c>
      <c r="K881" s="36">
        <f t="shared" si="494"/>
        <v>783.73507380507419</v>
      </c>
      <c r="L881" s="37" t="s">
        <v>131</v>
      </c>
    </row>
    <row r="882" spans="1:12" s="53" customFormat="1" ht="20.100000000000001" hidden="1" customHeight="1" thickBot="1" x14ac:dyDescent="0.3">
      <c r="A882" s="327" t="s">
        <v>1054</v>
      </c>
      <c r="B882" s="321" t="s">
        <v>180</v>
      </c>
      <c r="C882" s="78">
        <v>4038.0700798298708</v>
      </c>
      <c r="D882" s="78">
        <v>5753.3937649999998</v>
      </c>
      <c r="E882" s="78">
        <v>451.92188369049569</v>
      </c>
      <c r="F882" s="78">
        <v>314.44913904793066</v>
      </c>
      <c r="G882" s="78">
        <v>733.35083412399808</v>
      </c>
      <c r="H882" s="78">
        <v>536.90216424014386</v>
      </c>
      <c r="I882" s="78">
        <v>1164.9789414362833</v>
      </c>
      <c r="J882" s="78">
        <v>1458.8327372812041</v>
      </c>
      <c r="K882" s="78">
        <v>327.42499885489934</v>
      </c>
      <c r="L882" s="20" t="s">
        <v>131</v>
      </c>
    </row>
    <row r="883" spans="1:12" s="53" customFormat="1" ht="20.100000000000001" customHeight="1" x14ac:dyDescent="0.25">
      <c r="A883" s="327"/>
      <c r="B883" s="322"/>
      <c r="C883" s="10">
        <f>C882/14.06*19.53*1.039</f>
        <v>5827.8225815633987</v>
      </c>
      <c r="D883" s="10">
        <f t="shared" ref="D883:K883" si="495">D882/14.06*19.53*1.039</f>
        <v>8303.411640073793</v>
      </c>
      <c r="E883" s="10">
        <f t="shared" si="495"/>
        <v>652.22259812417644</v>
      </c>
      <c r="F883" s="10">
        <f t="shared" si="495"/>
        <v>453.81921488938281</v>
      </c>
      <c r="G883" s="10">
        <f t="shared" si="495"/>
        <v>1058.3864239167076</v>
      </c>
      <c r="H883" s="10">
        <f t="shared" si="495"/>
        <v>774.86781927786615</v>
      </c>
      <c r="I883" s="10">
        <f t="shared" si="495"/>
        <v>1681.3206427151058</v>
      </c>
      <c r="J883" s="10">
        <f t="shared" si="495"/>
        <v>2105.4162510744586</v>
      </c>
      <c r="K883" s="10">
        <f t="shared" si="495"/>
        <v>472.54623232674214</v>
      </c>
      <c r="L883" s="26" t="s">
        <v>131</v>
      </c>
    </row>
    <row r="884" spans="1:12" s="53" customFormat="1" ht="20.100000000000001" customHeight="1" x14ac:dyDescent="0.25">
      <c r="A884" s="327"/>
      <c r="B884" s="322"/>
      <c r="C884" s="16">
        <f>C883*0.0214</f>
        <v>124.71540324545673</v>
      </c>
      <c r="D884" s="16">
        <f t="shared" ref="D884:K884" si="496">D883*0.0214</f>
        <v>177.69300909757916</v>
      </c>
      <c r="E884" s="16">
        <f t="shared" si="496"/>
        <v>13.957563599857375</v>
      </c>
      <c r="F884" s="16">
        <f t="shared" si="496"/>
        <v>9.7117311986327923</v>
      </c>
      <c r="G884" s="16">
        <f t="shared" si="496"/>
        <v>22.649469471817543</v>
      </c>
      <c r="H884" s="16">
        <f t="shared" si="496"/>
        <v>16.582171332546334</v>
      </c>
      <c r="I884" s="16">
        <f t="shared" si="496"/>
        <v>35.98026175410326</v>
      </c>
      <c r="J884" s="16">
        <f t="shared" si="496"/>
        <v>45.055907772993415</v>
      </c>
      <c r="K884" s="16">
        <f t="shared" si="496"/>
        <v>10.112489371792281</v>
      </c>
      <c r="L884" s="15" t="s">
        <v>131</v>
      </c>
    </row>
    <row r="885" spans="1:12" s="53" customFormat="1" ht="20.100000000000001" hidden="1" customHeight="1" x14ac:dyDescent="0.25">
      <c r="A885" s="327"/>
      <c r="B885" s="322"/>
      <c r="C885" s="16">
        <f>26773/3535.9</f>
        <v>7.5717639073503209</v>
      </c>
      <c r="D885" s="16">
        <f>21524/743</f>
        <v>28.969044414535666</v>
      </c>
      <c r="E885" s="16">
        <f>16191/3535.9</f>
        <v>4.5790322124494471</v>
      </c>
      <c r="F885" s="16">
        <f>44467/2/3535.9</f>
        <v>6.2879323510280267</v>
      </c>
      <c r="G885" s="16">
        <f>41298/3535.9</f>
        <v>11.679628948782488</v>
      </c>
      <c r="H885" s="16">
        <f>F885</f>
        <v>6.2879323510280267</v>
      </c>
      <c r="I885" s="16">
        <f>58728/3535.9</f>
        <v>16.609066998501088</v>
      </c>
      <c r="J885" s="16">
        <f>10076/3535.9</f>
        <v>2.8496281003422044</v>
      </c>
      <c r="K885" s="16">
        <f>J885</f>
        <v>2.8496281003422044</v>
      </c>
      <c r="L885" s="15" t="s">
        <v>131</v>
      </c>
    </row>
    <row r="886" spans="1:12" s="53" customFormat="1" ht="20.100000000000001" hidden="1" customHeight="1" thickBot="1" x14ac:dyDescent="0.3">
      <c r="A886" s="327"/>
      <c r="B886" s="322"/>
      <c r="C886" s="18">
        <f>(1/1833.9)*258039.6*1.2*P4</f>
        <v>209.13277900109341</v>
      </c>
      <c r="D886" s="18">
        <f>(1/1833.9)*219333.66*1.2*P4</f>
        <v>177.76286215092938</v>
      </c>
      <c r="E886" s="18">
        <f>(1/1833.9)*172026.06*1.2*P4</f>
        <v>139.42157710835406</v>
      </c>
      <c r="F886" s="18">
        <f>(1/1833.9)*129019.8*1.2*P4</f>
        <v>104.56638950054671</v>
      </c>
      <c r="G886" s="19">
        <f>(1/1833.9)*129019.8*1.2*P4</f>
        <v>104.56638950054671</v>
      </c>
      <c r="H886" s="19">
        <f>(1/1833.9)*129019.8*1.2*P4</f>
        <v>104.56638950054671</v>
      </c>
      <c r="I886" s="19">
        <f>(1/1833.9)*169875.9*1.2*P4</f>
        <v>137.67894172953237</v>
      </c>
      <c r="J886" s="19">
        <f>(1/1833.9)*90313.86*2*1.2*P4</f>
        <v>146.39294530076538</v>
      </c>
      <c r="K886" s="18">
        <f>(1/1833.9)*210732/2*1.2*P4</f>
        <v>85.39574697925903</v>
      </c>
      <c r="L886" s="34" t="s">
        <v>131</v>
      </c>
    </row>
    <row r="887" spans="1:12" s="53" customFormat="1" ht="20.100000000000001" customHeight="1" thickBot="1" x14ac:dyDescent="0.3">
      <c r="A887" s="327"/>
      <c r="B887" s="323"/>
      <c r="C887" s="18">
        <f>C886+C885</f>
        <v>216.70454290844373</v>
      </c>
      <c r="D887" s="18">
        <f t="shared" ref="D887:K887" si="497">D886+D885</f>
        <v>206.73190656546504</v>
      </c>
      <c r="E887" s="18">
        <f t="shared" si="497"/>
        <v>144.00060932080351</v>
      </c>
      <c r="F887" s="18">
        <f t="shared" si="497"/>
        <v>110.85432185157474</v>
      </c>
      <c r="G887" s="18">
        <f t="shared" si="497"/>
        <v>116.2460184493292</v>
      </c>
      <c r="H887" s="18">
        <f t="shared" si="497"/>
        <v>110.85432185157474</v>
      </c>
      <c r="I887" s="18">
        <f t="shared" si="497"/>
        <v>154.28800872803345</v>
      </c>
      <c r="J887" s="18">
        <f t="shared" si="497"/>
        <v>149.24257340110759</v>
      </c>
      <c r="K887" s="18">
        <f t="shared" si="497"/>
        <v>88.245375079601232</v>
      </c>
      <c r="L887" s="34" t="s">
        <v>131</v>
      </c>
    </row>
    <row r="888" spans="1:12" s="53" customFormat="1" ht="20.100000000000001" customHeight="1" thickBot="1" x14ac:dyDescent="0.3">
      <c r="A888" s="328"/>
      <c r="B888" s="265" t="s">
        <v>212</v>
      </c>
      <c r="C888" s="36">
        <f>SUM(C883:C886)</f>
        <v>6169.2425277172988</v>
      </c>
      <c r="D888" s="36">
        <f t="shared" ref="D888:K888" si="498">SUM(D883:D886)</f>
        <v>8687.8365557368379</v>
      </c>
      <c r="E888" s="36">
        <f t="shared" si="498"/>
        <v>810.18077104483734</v>
      </c>
      <c r="F888" s="36">
        <f t="shared" si="498"/>
        <v>574.38526793959034</v>
      </c>
      <c r="G888" s="36">
        <f t="shared" si="498"/>
        <v>1197.2819118378543</v>
      </c>
      <c r="H888" s="36">
        <f t="shared" si="498"/>
        <v>902.30431246198725</v>
      </c>
      <c r="I888" s="36">
        <f t="shared" si="498"/>
        <v>1871.5889131972426</v>
      </c>
      <c r="J888" s="36">
        <f t="shared" si="498"/>
        <v>2299.7147322485598</v>
      </c>
      <c r="K888" s="36">
        <f t="shared" si="498"/>
        <v>570.90409677813568</v>
      </c>
      <c r="L888" s="37" t="s">
        <v>131</v>
      </c>
    </row>
    <row r="889" spans="1:12" s="81" customFormat="1" ht="20.100000000000001" hidden="1" customHeight="1" thickBot="1" x14ac:dyDescent="0.3">
      <c r="A889" s="327" t="s">
        <v>1055</v>
      </c>
      <c r="B889" s="321" t="s">
        <v>92</v>
      </c>
      <c r="C889" s="9">
        <v>14374.080647693077</v>
      </c>
      <c r="D889" s="9">
        <v>8044.1573900000003</v>
      </c>
      <c r="E889" s="9">
        <v>949.37272868605828</v>
      </c>
      <c r="F889" s="9">
        <v>532.49895887662979</v>
      </c>
      <c r="G889" s="9" t="s">
        <v>131</v>
      </c>
      <c r="H889" s="9">
        <v>309.70940596790376</v>
      </c>
      <c r="I889" s="9">
        <v>3597.6614601303913</v>
      </c>
      <c r="J889" s="9">
        <v>3471.1534791875629</v>
      </c>
      <c r="K889" s="9" t="s">
        <v>131</v>
      </c>
      <c r="L889" s="20" t="s">
        <v>131</v>
      </c>
    </row>
    <row r="890" spans="1:12" s="81" customFormat="1" ht="20.100000000000001" customHeight="1" x14ac:dyDescent="0.25">
      <c r="A890" s="327"/>
      <c r="B890" s="322"/>
      <c r="C890" s="10">
        <f>C889/12.79*19.53*1.039</f>
        <v>22804.855438340437</v>
      </c>
      <c r="D890" s="10">
        <f t="shared" ref="D890:J890" si="499">D889/12.79*19.53*1.039</f>
        <v>12762.266394522385</v>
      </c>
      <c r="E890" s="10">
        <f t="shared" si="499"/>
        <v>1506.204700351605</v>
      </c>
      <c r="F890" s="10">
        <f t="shared" si="499"/>
        <v>844.82354565036292</v>
      </c>
      <c r="G890" s="10" t="s">
        <v>131</v>
      </c>
      <c r="H890" s="10">
        <f t="shared" si="499"/>
        <v>491.36208458144904</v>
      </c>
      <c r="I890" s="10">
        <f t="shared" si="499"/>
        <v>5707.7841376609904</v>
      </c>
      <c r="J890" s="10">
        <f t="shared" si="499"/>
        <v>5507.0759123554253</v>
      </c>
      <c r="K890" s="10" t="s">
        <v>131</v>
      </c>
      <c r="L890" s="26" t="s">
        <v>131</v>
      </c>
    </row>
    <row r="891" spans="1:12" s="81" customFormat="1" ht="20.100000000000001" customHeight="1" x14ac:dyDescent="0.25">
      <c r="A891" s="327"/>
      <c r="B891" s="322"/>
      <c r="C891" s="16">
        <f>C890*0.0214</f>
        <v>488.0239063804853</v>
      </c>
      <c r="D891" s="16">
        <f t="shared" ref="D891:J891" si="500">D890*0.0214</f>
        <v>273.11250084277901</v>
      </c>
      <c r="E891" s="16">
        <f t="shared" si="500"/>
        <v>32.232780587524346</v>
      </c>
      <c r="F891" s="16">
        <f t="shared" si="500"/>
        <v>18.079223876917766</v>
      </c>
      <c r="G891" s="16" t="s">
        <v>131</v>
      </c>
      <c r="H891" s="16">
        <f t="shared" si="500"/>
        <v>10.515148610043008</v>
      </c>
      <c r="I891" s="16">
        <f t="shared" si="500"/>
        <v>122.14658054594518</v>
      </c>
      <c r="J891" s="16">
        <f t="shared" si="500"/>
        <v>117.8514245244061</v>
      </c>
      <c r="K891" s="16" t="s">
        <v>131</v>
      </c>
      <c r="L891" s="15" t="s">
        <v>131</v>
      </c>
    </row>
    <row r="892" spans="1:12" s="81" customFormat="1" ht="20.100000000000001" hidden="1" customHeight="1" x14ac:dyDescent="0.25">
      <c r="A892" s="327"/>
      <c r="B892" s="322"/>
      <c r="C892" s="16">
        <f>9789/398.8</f>
        <v>24.546138415245736</v>
      </c>
      <c r="D892" s="16">
        <f>8924/209</f>
        <v>42.698564593301434</v>
      </c>
      <c r="E892" s="16">
        <f>7540/398.8</f>
        <v>18.906720160481445</v>
      </c>
      <c r="F892" s="16">
        <f>7691/2/398.8</f>
        <v>9.6426780341023068</v>
      </c>
      <c r="G892" s="16" t="s">
        <v>131</v>
      </c>
      <c r="H892" s="16">
        <f>F892</f>
        <v>9.6426780341023068</v>
      </c>
      <c r="I892" s="16">
        <f>8048/398.8</f>
        <v>20.180541624874625</v>
      </c>
      <c r="J892" s="16">
        <f>7039/398.8</f>
        <v>17.650451354062184</v>
      </c>
      <c r="K892" s="16" t="s">
        <v>131</v>
      </c>
      <c r="L892" s="15" t="s">
        <v>131</v>
      </c>
    </row>
    <row r="893" spans="1:12" s="81" customFormat="1" ht="20.100000000000001" hidden="1" customHeight="1" thickBot="1" x14ac:dyDescent="0.3">
      <c r="A893" s="327"/>
      <c r="B893" s="322"/>
      <c r="C893" s="18">
        <f>(1/398.8)*81188.94*1.2*P4</f>
        <v>302.58898925444748</v>
      </c>
      <c r="D893" s="18">
        <f>(1/398.8)*69010.14*1.2*P4</f>
        <v>257.19893018566216</v>
      </c>
      <c r="E893" s="18">
        <f>(1/398.8)*54125.28*1.2*P4</f>
        <v>201.72345849464176</v>
      </c>
      <c r="F893" s="18">
        <f>(1/398.8)*40593.96*1.2*P4</f>
        <v>151.29259387098131</v>
      </c>
      <c r="G893" s="18" t="s">
        <v>131</v>
      </c>
      <c r="H893" s="18">
        <f>(1/398.8)*40593.96*1.2*P4</f>
        <v>151.29259387098131</v>
      </c>
      <c r="I893" s="19">
        <f>(1/398.8)*53449*1.2*P4</f>
        <v>199.20298117774371</v>
      </c>
      <c r="J893" s="19">
        <f>(1/398.8)*66304.08*1.2*P4</f>
        <v>247.11351756342711</v>
      </c>
      <c r="K893" s="18" t="s">
        <v>131</v>
      </c>
      <c r="L893" s="20" t="s">
        <v>131</v>
      </c>
    </row>
    <row r="894" spans="1:12" s="81" customFormat="1" ht="20.100000000000001" customHeight="1" thickBot="1" x14ac:dyDescent="0.3">
      <c r="A894" s="327"/>
      <c r="B894" s="323"/>
      <c r="C894" s="18">
        <f>C893+C892</f>
        <v>327.13512766969325</v>
      </c>
      <c r="D894" s="18">
        <f t="shared" ref="D894:J894" si="501">D893+D892</f>
        <v>299.89749477896362</v>
      </c>
      <c r="E894" s="18">
        <f t="shared" si="501"/>
        <v>220.63017865512322</v>
      </c>
      <c r="F894" s="18">
        <f t="shared" si="501"/>
        <v>160.93527190508362</v>
      </c>
      <c r="G894" s="18" t="s">
        <v>131</v>
      </c>
      <c r="H894" s="18">
        <f t="shared" si="501"/>
        <v>160.93527190508362</v>
      </c>
      <c r="I894" s="18">
        <f t="shared" si="501"/>
        <v>219.38352280261833</v>
      </c>
      <c r="J894" s="18">
        <f t="shared" si="501"/>
        <v>264.76396891748931</v>
      </c>
      <c r="K894" s="18" t="s">
        <v>131</v>
      </c>
      <c r="L894" s="34" t="s">
        <v>131</v>
      </c>
    </row>
    <row r="895" spans="1:12" s="81" customFormat="1" ht="20.100000000000001" customHeight="1" thickBot="1" x14ac:dyDescent="0.3">
      <c r="A895" s="328"/>
      <c r="B895" s="265" t="s">
        <v>212</v>
      </c>
      <c r="C895" s="36">
        <f>SUM(C890:C893)</f>
        <v>23620.014472390612</v>
      </c>
      <c r="D895" s="36">
        <f>SUM(D890:D893)</f>
        <v>13335.276390144129</v>
      </c>
      <c r="E895" s="36">
        <f>SUM(E890:E893)</f>
        <v>1759.0676595942525</v>
      </c>
      <c r="F895" s="36">
        <f>SUM(F890:F893)</f>
        <v>1023.8380414323644</v>
      </c>
      <c r="G895" s="36" t="s">
        <v>131</v>
      </c>
      <c r="H895" s="36">
        <f>SUM(H890:H893)</f>
        <v>662.81250509657571</v>
      </c>
      <c r="I895" s="36">
        <f>SUM(I890:I893)</f>
        <v>6049.3142410095534</v>
      </c>
      <c r="J895" s="36">
        <f>SUM(J890:J893)</f>
        <v>5889.6913057973206</v>
      </c>
      <c r="K895" s="36" t="s">
        <v>131</v>
      </c>
      <c r="L895" s="34" t="s">
        <v>131</v>
      </c>
    </row>
    <row r="896" spans="1:12" s="53" customFormat="1" ht="20.100000000000001" hidden="1" customHeight="1" thickBot="1" x14ac:dyDescent="0.3">
      <c r="A896" s="327" t="s">
        <v>1056</v>
      </c>
      <c r="B896" s="321" t="s">
        <v>181</v>
      </c>
      <c r="C896" s="9">
        <v>6055.1029522388062</v>
      </c>
      <c r="D896" s="9">
        <v>5772.8744718749995</v>
      </c>
      <c r="E896" s="9">
        <v>923.28584328358215</v>
      </c>
      <c r="F896" s="9">
        <v>644.63439850746272</v>
      </c>
      <c r="G896" s="9">
        <v>978.97521044776113</v>
      </c>
      <c r="H896" s="9">
        <v>753.48840000000007</v>
      </c>
      <c r="I896" s="9">
        <v>701.44739104477617</v>
      </c>
      <c r="J896" s="9">
        <v>2966.4252716417914</v>
      </c>
      <c r="K896" s="9" t="s">
        <v>131</v>
      </c>
      <c r="L896" s="20" t="s">
        <v>131</v>
      </c>
    </row>
    <row r="897" spans="1:12" s="53" customFormat="1" ht="20.100000000000001" customHeight="1" x14ac:dyDescent="0.25">
      <c r="A897" s="327"/>
      <c r="B897" s="322"/>
      <c r="C897" s="10">
        <f>C896/12.79*19.53*1.039</f>
        <v>9606.5794310285874</v>
      </c>
      <c r="D897" s="10">
        <f t="shared" ref="D897:J897" si="502">D896/12.79*19.53*1.039</f>
        <v>9158.8165547077224</v>
      </c>
      <c r="E897" s="10">
        <f t="shared" si="502"/>
        <v>1464.8171733840632</v>
      </c>
      <c r="F897" s="10">
        <f t="shared" si="502"/>
        <v>1022.7293577139895</v>
      </c>
      <c r="G897" s="10">
        <f t="shared" si="502"/>
        <v>1553.1698130247476</v>
      </c>
      <c r="H897" s="10">
        <f t="shared" si="502"/>
        <v>1195.429082222674</v>
      </c>
      <c r="I897" s="10">
        <f t="shared" si="502"/>
        <v>1112.8646584395274</v>
      </c>
      <c r="J897" s="10">
        <f t="shared" si="502"/>
        <v>4706.3113910723687</v>
      </c>
      <c r="K897" s="10" t="s">
        <v>131</v>
      </c>
      <c r="L897" s="26" t="s">
        <v>131</v>
      </c>
    </row>
    <row r="898" spans="1:12" s="53" customFormat="1" ht="20.100000000000001" customHeight="1" x14ac:dyDescent="0.25">
      <c r="A898" s="327"/>
      <c r="B898" s="322"/>
      <c r="C898" s="16">
        <f>C897*0.0214</f>
        <v>205.58079982401176</v>
      </c>
      <c r="D898" s="16">
        <f t="shared" ref="D898:J898" si="503">D897*0.0214</f>
        <v>195.99867427074525</v>
      </c>
      <c r="E898" s="16">
        <f t="shared" si="503"/>
        <v>31.347087510418948</v>
      </c>
      <c r="F898" s="16">
        <f t="shared" si="503"/>
        <v>21.886408255079374</v>
      </c>
      <c r="G898" s="16">
        <f t="shared" si="503"/>
        <v>33.237833998729599</v>
      </c>
      <c r="H898" s="16">
        <f t="shared" si="503"/>
        <v>25.582182359565223</v>
      </c>
      <c r="I898" s="16">
        <f t="shared" si="503"/>
        <v>23.815303690605884</v>
      </c>
      <c r="J898" s="16">
        <f t="shared" si="503"/>
        <v>100.71506376894868</v>
      </c>
      <c r="K898" s="16" t="s">
        <v>131</v>
      </c>
      <c r="L898" s="15" t="s">
        <v>131</v>
      </c>
    </row>
    <row r="899" spans="1:12" s="53" customFormat="1" ht="20.100000000000001" hidden="1" customHeight="1" x14ac:dyDescent="0.25">
      <c r="A899" s="327"/>
      <c r="B899" s="322"/>
      <c r="C899" s="16">
        <f>10807/571.4</f>
        <v>18.913195659782989</v>
      </c>
      <c r="D899" s="16">
        <f>9679/200</f>
        <v>48.395000000000003</v>
      </c>
      <c r="E899" s="16">
        <f>8016/571.4</f>
        <v>14.028701435071754</v>
      </c>
      <c r="F899" s="16">
        <f>9001/2/571.4</f>
        <v>7.8762688134406726</v>
      </c>
      <c r="G899" s="16">
        <f>8744/571.4</f>
        <v>15.302765138256914</v>
      </c>
      <c r="H899" s="16">
        <f>F899</f>
        <v>7.8762688134406726</v>
      </c>
      <c r="I899" s="16">
        <f>10281/571.4</f>
        <v>17.992649632481626</v>
      </c>
      <c r="J899" s="16">
        <f>7221/571.4</f>
        <v>12.637381869093455</v>
      </c>
      <c r="K899" s="16" t="s">
        <v>131</v>
      </c>
      <c r="L899" s="15" t="s">
        <v>131</v>
      </c>
    </row>
    <row r="900" spans="1:12" s="53" customFormat="1" ht="20.100000000000001" hidden="1" customHeight="1" thickBot="1" x14ac:dyDescent="0.3">
      <c r="A900" s="327"/>
      <c r="B900" s="322"/>
      <c r="C900" s="17">
        <f>(1/891)*180496.14*1.2*P4</f>
        <v>301.09366197192981</v>
      </c>
      <c r="D900" s="18">
        <f>(1/891)*153422.28*1.2*P4</f>
        <v>255.93054850526315</v>
      </c>
      <c r="E900" s="18">
        <f>(1/891)*120331.44*1.2*P4</f>
        <v>200.73024231961722</v>
      </c>
      <c r="F900" s="18">
        <f>(1/891)*90248.58*1.2*P4</f>
        <v>150.54768173971291</v>
      </c>
      <c r="G900" s="18">
        <f>(1/891)*90248.58*1.2*P4</f>
        <v>150.54768173971291</v>
      </c>
      <c r="H900" s="18">
        <f>(1/891)*90248.58*1.2*P4</f>
        <v>150.54768173971291</v>
      </c>
      <c r="I900" s="19">
        <f>(1/891)*116497*1.2*P4</f>
        <v>194.33384192450825</v>
      </c>
      <c r="J900" s="19">
        <f>(1/891)*147405.3*1.2*P4</f>
        <v>245.89335578628382</v>
      </c>
      <c r="K900" s="18" t="s">
        <v>131</v>
      </c>
      <c r="L900" s="20" t="s">
        <v>131</v>
      </c>
    </row>
    <row r="901" spans="1:12" s="53" customFormat="1" ht="20.100000000000001" customHeight="1" thickBot="1" x14ac:dyDescent="0.3">
      <c r="A901" s="327"/>
      <c r="B901" s="323"/>
      <c r="C901" s="17">
        <f>C900+C899</f>
        <v>320.00685763171282</v>
      </c>
      <c r="D901" s="17">
        <f t="shared" ref="D901:J901" si="504">D900+D899</f>
        <v>304.32554850526316</v>
      </c>
      <c r="E901" s="17">
        <f t="shared" si="504"/>
        <v>214.75894375468897</v>
      </c>
      <c r="F901" s="17">
        <f t="shared" si="504"/>
        <v>158.42395055315359</v>
      </c>
      <c r="G901" s="17">
        <f t="shared" si="504"/>
        <v>165.85044687796983</v>
      </c>
      <c r="H901" s="17">
        <f t="shared" si="504"/>
        <v>158.42395055315359</v>
      </c>
      <c r="I901" s="17">
        <f t="shared" si="504"/>
        <v>212.32649155698988</v>
      </c>
      <c r="J901" s="17">
        <f t="shared" si="504"/>
        <v>258.53073765537727</v>
      </c>
      <c r="K901" s="18" t="s">
        <v>131</v>
      </c>
      <c r="L901" s="34" t="s">
        <v>131</v>
      </c>
    </row>
    <row r="902" spans="1:12" s="53" customFormat="1" ht="20.100000000000001" customHeight="1" thickBot="1" x14ac:dyDescent="0.3">
      <c r="A902" s="328"/>
      <c r="B902" s="265" t="s">
        <v>212</v>
      </c>
      <c r="C902" s="36">
        <f>SUM(C897:C900)</f>
        <v>10132.167088484313</v>
      </c>
      <c r="D902" s="36">
        <f t="shared" ref="D902:J902" si="505">SUM(D897:D900)</f>
        <v>9659.1407774837317</v>
      </c>
      <c r="E902" s="36">
        <f t="shared" si="505"/>
        <v>1710.9232046491711</v>
      </c>
      <c r="F902" s="36">
        <f t="shared" si="505"/>
        <v>1203.0397165222225</v>
      </c>
      <c r="G902" s="36">
        <f t="shared" si="505"/>
        <v>1752.2580939014472</v>
      </c>
      <c r="H902" s="36">
        <f t="shared" si="505"/>
        <v>1379.4352151353928</v>
      </c>
      <c r="I902" s="36">
        <f t="shared" si="505"/>
        <v>1349.006453687123</v>
      </c>
      <c r="J902" s="36">
        <f t="shared" si="505"/>
        <v>5065.5571924966944</v>
      </c>
      <c r="K902" s="36" t="s">
        <v>131</v>
      </c>
      <c r="L902" s="34" t="s">
        <v>131</v>
      </c>
    </row>
    <row r="903" spans="1:12" s="53" customFormat="1" ht="20.100000000000001" customHeight="1" thickBot="1" x14ac:dyDescent="0.3">
      <c r="A903" s="311" t="s">
        <v>1057</v>
      </c>
      <c r="B903" s="312"/>
      <c r="C903" s="312"/>
      <c r="D903" s="312"/>
      <c r="E903" s="312"/>
      <c r="F903" s="312"/>
      <c r="G903" s="312"/>
      <c r="H903" s="312"/>
      <c r="I903" s="312"/>
      <c r="J903" s="312"/>
      <c r="K903" s="312"/>
      <c r="L903" s="313"/>
    </row>
    <row r="904" spans="1:12" s="81" customFormat="1" ht="20.100000000000001" hidden="1" customHeight="1" thickBot="1" x14ac:dyDescent="0.3">
      <c r="A904" s="327" t="s">
        <v>1058</v>
      </c>
      <c r="B904" s="321" t="s">
        <v>93</v>
      </c>
      <c r="C904" s="9">
        <v>3702.2329466119099</v>
      </c>
      <c r="D904" s="9">
        <v>8126.9538293023252</v>
      </c>
      <c r="E904" s="9">
        <v>524.81372881885568</v>
      </c>
      <c r="F904" s="9">
        <v>324.51348183197933</v>
      </c>
      <c r="G904" s="9">
        <v>792.67296687795749</v>
      </c>
      <c r="H904" s="9">
        <v>456.25468516203921</v>
      </c>
      <c r="I904" s="9">
        <v>1197.3616570841889</v>
      </c>
      <c r="J904" s="9">
        <v>1998.1058983126511</v>
      </c>
      <c r="K904" s="9">
        <v>436.24781398982242</v>
      </c>
      <c r="L904" s="21" t="s">
        <v>131</v>
      </c>
    </row>
    <row r="905" spans="1:12" s="81" customFormat="1" ht="20.100000000000001" customHeight="1" x14ac:dyDescent="0.25">
      <c r="A905" s="327"/>
      <c r="B905" s="322"/>
      <c r="C905" s="10">
        <f>C904/13.19*19.53*1.039</f>
        <v>5695.5640042286959</v>
      </c>
      <c r="D905" s="10">
        <f t="shared" ref="D905:K905" si="506">D904/13.19*19.53*1.039</f>
        <v>12502.612980245574</v>
      </c>
      <c r="E905" s="10">
        <f t="shared" si="506"/>
        <v>807.38036365896198</v>
      </c>
      <c r="F905" s="10">
        <f t="shared" si="506"/>
        <v>499.23582137115397</v>
      </c>
      <c r="G905" s="10">
        <f t="shared" si="506"/>
        <v>1219.4585490377895</v>
      </c>
      <c r="H905" s="10">
        <f t="shared" si="506"/>
        <v>701.90822647930224</v>
      </c>
      <c r="I905" s="10">
        <f t="shared" si="506"/>
        <v>1842.036968628167</v>
      </c>
      <c r="J905" s="10">
        <f t="shared" si="506"/>
        <v>3073.912472601507</v>
      </c>
      <c r="K905" s="10">
        <f t="shared" si="506"/>
        <v>671.12939194108105</v>
      </c>
      <c r="L905" s="21" t="s">
        <v>131</v>
      </c>
    </row>
    <row r="906" spans="1:12" s="81" customFormat="1" ht="20.100000000000001" customHeight="1" x14ac:dyDescent="0.25">
      <c r="A906" s="327"/>
      <c r="B906" s="322"/>
      <c r="C906" s="16">
        <f>C905*0.0214</f>
        <v>121.88506969049409</v>
      </c>
      <c r="D906" s="16">
        <f t="shared" ref="D906:K906" si="507">D905*0.0214</f>
        <v>267.55591777725527</v>
      </c>
      <c r="E906" s="16">
        <f t="shared" si="507"/>
        <v>17.277939782301786</v>
      </c>
      <c r="F906" s="16">
        <f t="shared" si="507"/>
        <v>10.683646577342694</v>
      </c>
      <c r="G906" s="16">
        <f t="shared" si="507"/>
        <v>26.096412949408691</v>
      </c>
      <c r="H906" s="16">
        <f t="shared" si="507"/>
        <v>15.020836046657067</v>
      </c>
      <c r="I906" s="16">
        <f t="shared" si="507"/>
        <v>39.419591128642772</v>
      </c>
      <c r="J906" s="16">
        <f t="shared" si="507"/>
        <v>65.781726913672244</v>
      </c>
      <c r="K906" s="16">
        <f t="shared" si="507"/>
        <v>14.362168987539134</v>
      </c>
      <c r="L906" s="15" t="s">
        <v>131</v>
      </c>
    </row>
    <row r="907" spans="1:12" s="81" customFormat="1" ht="20.100000000000001" hidden="1" customHeight="1" x14ac:dyDescent="0.25">
      <c r="A907" s="327"/>
      <c r="B907" s="322"/>
      <c r="C907" s="16">
        <f>23220/2240.2</f>
        <v>10.365145969109902</v>
      </c>
      <c r="D907" s="16">
        <f>19239/2/560</f>
        <v>17.177678571428572</v>
      </c>
      <c r="E907" s="16">
        <f>13978/2240.2</f>
        <v>6.2396214623694322</v>
      </c>
      <c r="F907" s="16">
        <f>31893/2/2240.2</f>
        <v>7.118337648424248</v>
      </c>
      <c r="G907" s="16">
        <f>29885/2240.2</f>
        <v>13.340326756539596</v>
      </c>
      <c r="H907" s="16">
        <f>F907</f>
        <v>7.118337648424248</v>
      </c>
      <c r="I907" s="16">
        <f>32896/2240.2</f>
        <v>14.684403178287655</v>
      </c>
      <c r="J907" s="16">
        <f>10558/2240.2</f>
        <v>4.7129720560664232</v>
      </c>
      <c r="K907" s="16">
        <f>J907</f>
        <v>4.7129720560664232</v>
      </c>
      <c r="L907" s="15" t="s">
        <v>131</v>
      </c>
    </row>
    <row r="908" spans="1:12" s="81" customFormat="1" ht="20.100000000000001" hidden="1" customHeight="1" thickBot="1" x14ac:dyDescent="0.3">
      <c r="A908" s="327"/>
      <c r="B908" s="322"/>
      <c r="C908" s="9">
        <f>(1/2240.2)*202342.5*1.2*P4</f>
        <v>134.24920347454881</v>
      </c>
      <c r="D908" s="9">
        <f>(1/560)*70819.62*1.2*P4</f>
        <v>187.96498920981199</v>
      </c>
      <c r="E908" s="9">
        <f>(1/2240.2)*134895*1.2*P4</f>
        <v>89.499468983032529</v>
      </c>
      <c r="F908" s="9">
        <f>(1/2240.2)*101170.74*1.2*P4</f>
        <v>67.12426336499091</v>
      </c>
      <c r="G908" s="24">
        <f>(1/2240.2)*101170.74*1.2*P4</f>
        <v>67.12426336499091</v>
      </c>
      <c r="H908" s="24">
        <f>(1/2240.2)*101170.74*1.2*P4</f>
        <v>67.12426336499091</v>
      </c>
      <c r="I908" s="24">
        <f>(1/2240.2)*133208.94*1.2*P4</f>
        <v>88.380810213815494</v>
      </c>
      <c r="J908" s="24">
        <f>(1/2240.2)*165246.12*1.2*P4</f>
        <v>109.63668031807312</v>
      </c>
      <c r="K908" s="9">
        <f>(1/2240.2)*70819.62*1.2*P4</f>
        <v>46.987052029950327</v>
      </c>
      <c r="L908" s="20" t="s">
        <v>131</v>
      </c>
    </row>
    <row r="909" spans="1:12" s="81" customFormat="1" ht="20.100000000000001" customHeight="1" thickBot="1" x14ac:dyDescent="0.3">
      <c r="A909" s="327"/>
      <c r="B909" s="323"/>
      <c r="C909" s="18">
        <f>C908+C907</f>
        <v>144.61434944365871</v>
      </c>
      <c r="D909" s="18">
        <f t="shared" ref="D909:K909" si="508">D908+D907</f>
        <v>205.14266778124056</v>
      </c>
      <c r="E909" s="18">
        <f t="shared" si="508"/>
        <v>95.739090445401956</v>
      </c>
      <c r="F909" s="18">
        <f t="shared" si="508"/>
        <v>74.242601013415154</v>
      </c>
      <c r="G909" s="18">
        <f t="shared" si="508"/>
        <v>80.464590121530506</v>
      </c>
      <c r="H909" s="18">
        <f t="shared" si="508"/>
        <v>74.242601013415154</v>
      </c>
      <c r="I909" s="18">
        <f t="shared" si="508"/>
        <v>103.06521339210315</v>
      </c>
      <c r="J909" s="18">
        <f t="shared" si="508"/>
        <v>114.34965237413954</v>
      </c>
      <c r="K909" s="18">
        <f t="shared" si="508"/>
        <v>51.700024086016754</v>
      </c>
      <c r="L909" s="34" t="s">
        <v>131</v>
      </c>
    </row>
    <row r="910" spans="1:12" s="81" customFormat="1" ht="20.100000000000001" customHeight="1" thickBot="1" x14ac:dyDescent="0.3">
      <c r="A910" s="328"/>
      <c r="B910" s="259" t="s">
        <v>212</v>
      </c>
      <c r="C910" s="36">
        <f>SUM(C905:C908)</f>
        <v>5962.0634233628489</v>
      </c>
      <c r="D910" s="36">
        <f t="shared" ref="D910:K910" si="509">SUM(D905:D908)</f>
        <v>12975.31156580407</v>
      </c>
      <c r="E910" s="36">
        <f t="shared" si="509"/>
        <v>920.39739388666578</v>
      </c>
      <c r="F910" s="36">
        <f t="shared" si="509"/>
        <v>584.16206896191193</v>
      </c>
      <c r="G910" s="36">
        <f t="shared" si="509"/>
        <v>1326.0195521087285</v>
      </c>
      <c r="H910" s="36">
        <f t="shared" si="509"/>
        <v>791.17166353937455</v>
      </c>
      <c r="I910" s="36">
        <f t="shared" si="509"/>
        <v>1984.5217731489131</v>
      </c>
      <c r="J910" s="36">
        <f t="shared" si="509"/>
        <v>3254.0438518893188</v>
      </c>
      <c r="K910" s="36">
        <f t="shared" si="509"/>
        <v>737.19158501463687</v>
      </c>
      <c r="L910" s="37" t="s">
        <v>131</v>
      </c>
    </row>
    <row r="911" spans="1:12" s="81" customFormat="1" ht="20.100000000000001" hidden="1" customHeight="1" thickBot="1" x14ac:dyDescent="0.3">
      <c r="A911" s="327" t="s">
        <v>1059</v>
      </c>
      <c r="B911" s="321" t="s">
        <v>94</v>
      </c>
      <c r="C911" s="9">
        <v>4593.0925130322576</v>
      </c>
      <c r="D911" s="9">
        <v>4789.9301333333342</v>
      </c>
      <c r="E911" s="9">
        <v>563.56812549688129</v>
      </c>
      <c r="F911" s="9">
        <v>390.37676840388372</v>
      </c>
      <c r="G911" s="9">
        <v>678.45731699999999</v>
      </c>
      <c r="H911" s="9">
        <v>497.16225444581249</v>
      </c>
      <c r="I911" s="9">
        <v>2106.3379627499999</v>
      </c>
      <c r="J911" s="9">
        <v>1616.0712857178148</v>
      </c>
      <c r="K911" s="9">
        <v>345.95961906736204</v>
      </c>
      <c r="L911" s="21" t="s">
        <v>131</v>
      </c>
    </row>
    <row r="912" spans="1:12" s="81" customFormat="1" ht="20.100000000000001" customHeight="1" x14ac:dyDescent="0.25">
      <c r="A912" s="327"/>
      <c r="B912" s="322"/>
      <c r="C912" s="7">
        <f>C911/13.19*19.53*1.039</f>
        <v>7066.0741132616577</v>
      </c>
      <c r="D912" s="7">
        <f t="shared" ref="D912:K912" si="510">D911/13.19*19.53*1.039</f>
        <v>7368.891704977711</v>
      </c>
      <c r="E912" s="7">
        <f t="shared" si="510"/>
        <v>867.00063874915099</v>
      </c>
      <c r="F912" s="7">
        <f t="shared" si="510"/>
        <v>600.56077028946436</v>
      </c>
      <c r="G912" s="7">
        <f t="shared" si="510"/>
        <v>1043.7476865541614</v>
      </c>
      <c r="H912" s="7">
        <f t="shared" si="510"/>
        <v>764.84097071042152</v>
      </c>
      <c r="I912" s="7">
        <f t="shared" si="510"/>
        <v>3240.4181083089679</v>
      </c>
      <c r="J912" s="7">
        <f t="shared" si="510"/>
        <v>2486.1853848568317</v>
      </c>
      <c r="K912" s="7">
        <f t="shared" si="510"/>
        <v>532.22884180747678</v>
      </c>
      <c r="L912" s="21" t="s">
        <v>131</v>
      </c>
    </row>
    <row r="913" spans="1:12" s="81" customFormat="1" ht="20.100000000000001" customHeight="1" x14ac:dyDescent="0.25">
      <c r="A913" s="327"/>
      <c r="B913" s="322"/>
      <c r="C913" s="35">
        <f>C912*0.0214</f>
        <v>151.21398602379946</v>
      </c>
      <c r="D913" s="35">
        <f t="shared" ref="D913:K913" si="511">D911*0.0214</f>
        <v>102.50450485333334</v>
      </c>
      <c r="E913" s="35">
        <f t="shared" si="511"/>
        <v>12.060357885633259</v>
      </c>
      <c r="F913" s="35">
        <f t="shared" si="511"/>
        <v>8.3540628438431117</v>
      </c>
      <c r="G913" s="35">
        <f t="shared" si="511"/>
        <v>14.518986583799999</v>
      </c>
      <c r="H913" s="35">
        <f t="shared" si="511"/>
        <v>10.639272245140386</v>
      </c>
      <c r="I913" s="35">
        <f t="shared" si="511"/>
        <v>45.075632402849998</v>
      </c>
      <c r="J913" s="35">
        <f t="shared" si="511"/>
        <v>34.583925514361233</v>
      </c>
      <c r="K913" s="35">
        <f t="shared" si="511"/>
        <v>7.403535848041547</v>
      </c>
      <c r="L913" s="15" t="s">
        <v>131</v>
      </c>
    </row>
    <row r="914" spans="1:12" s="81" customFormat="1" ht="20.100000000000001" hidden="1" customHeight="1" x14ac:dyDescent="0.25">
      <c r="A914" s="327"/>
      <c r="B914" s="322"/>
      <c r="C914" s="16">
        <f>23899/2800</f>
        <v>8.5353571428571424</v>
      </c>
      <c r="D914" s="16">
        <f>19743/588</f>
        <v>33.576530612244895</v>
      </c>
      <c r="E914" s="16">
        <f>15521/2800</f>
        <v>5.5432142857142859</v>
      </c>
      <c r="F914" s="16">
        <f>37913/2/2800</f>
        <v>6.7701785714285716</v>
      </c>
      <c r="G914" s="16">
        <f>35404/2800</f>
        <v>12.644285714285715</v>
      </c>
      <c r="H914" s="16">
        <f>F914</f>
        <v>6.7701785714285716</v>
      </c>
      <c r="I914" s="16">
        <f>49205/2800</f>
        <v>17.573214285714286</v>
      </c>
      <c r="J914" s="16">
        <f>10679/2800</f>
        <v>3.8139285714285713</v>
      </c>
      <c r="K914" s="16">
        <f>J914</f>
        <v>3.8139285714285713</v>
      </c>
      <c r="L914" s="15" t="s">
        <v>131</v>
      </c>
    </row>
    <row r="915" spans="1:12" s="81" customFormat="1" ht="20.100000000000001" hidden="1" customHeight="1" thickBot="1" x14ac:dyDescent="0.3">
      <c r="A915" s="327"/>
      <c r="B915" s="322"/>
      <c r="C915" s="9">
        <f>(1/2800)*273682.32*1.2*P4</f>
        <v>145.27808628658644</v>
      </c>
      <c r="D915" s="9">
        <f>(1/588)*95789.22*1.2*P4</f>
        <v>242.13117513286787</v>
      </c>
      <c r="E915" s="9">
        <f>(1/2800)*182455.56*1.2*P4</f>
        <v>96.852418487052617</v>
      </c>
      <c r="F915" s="9">
        <f>(1/2800)*136841.16*1.2*P4</f>
        <v>72.639043143293222</v>
      </c>
      <c r="G915" s="24">
        <f>(1/2800)*136841.16*1.2*P4</f>
        <v>72.639043143293222</v>
      </c>
      <c r="H915" s="24">
        <f>(1/2800)*136841.16*1.2*P4</f>
        <v>72.639043143293222</v>
      </c>
      <c r="I915" s="24">
        <f>(1/2800)*180174.84*1.2*P4</f>
        <v>95.641749719864649</v>
      </c>
      <c r="J915" s="24">
        <f>(1/2800)*223507.5*1.2*P4</f>
        <v>118.6439148524436</v>
      </c>
      <c r="K915" s="9">
        <f>(1/2800)*95789.22*1.2*P4</f>
        <v>50.847546777902245</v>
      </c>
      <c r="L915" s="20" t="s">
        <v>131</v>
      </c>
    </row>
    <row r="916" spans="1:12" s="81" customFormat="1" ht="20.100000000000001" customHeight="1" thickBot="1" x14ac:dyDescent="0.3">
      <c r="A916" s="327"/>
      <c r="B916" s="323"/>
      <c r="C916" s="18">
        <f>C915+C914</f>
        <v>153.81344342944359</v>
      </c>
      <c r="D916" s="18">
        <f t="shared" ref="D916:K916" si="512">D915+D914</f>
        <v>275.70770574511278</v>
      </c>
      <c r="E916" s="18">
        <f t="shared" si="512"/>
        <v>102.3956327727669</v>
      </c>
      <c r="F916" s="18">
        <f t="shared" si="512"/>
        <v>79.409221714721795</v>
      </c>
      <c r="G916" s="18">
        <f t="shared" si="512"/>
        <v>85.283328857578937</v>
      </c>
      <c r="H916" s="18">
        <f t="shared" si="512"/>
        <v>79.409221714721795</v>
      </c>
      <c r="I916" s="18">
        <f t="shared" si="512"/>
        <v>113.21496400557893</v>
      </c>
      <c r="J916" s="18">
        <f t="shared" si="512"/>
        <v>122.45784342387218</v>
      </c>
      <c r="K916" s="18">
        <f t="shared" si="512"/>
        <v>54.661475349330814</v>
      </c>
      <c r="L916" s="34" t="s">
        <v>131</v>
      </c>
    </row>
    <row r="917" spans="1:12" s="81" customFormat="1" ht="20.100000000000001" customHeight="1" thickBot="1" x14ac:dyDescent="0.3">
      <c r="A917" s="328"/>
      <c r="B917" s="259" t="s">
        <v>212</v>
      </c>
      <c r="C917" s="36">
        <f>SUM(C912:C915)</f>
        <v>7371.1015427149005</v>
      </c>
      <c r="D917" s="36">
        <f t="shared" ref="D917:K917" si="513">SUM(D912:D915)</f>
        <v>7747.1039155761564</v>
      </c>
      <c r="E917" s="36">
        <f t="shared" si="513"/>
        <v>981.45662940755119</v>
      </c>
      <c r="F917" s="36">
        <f t="shared" si="513"/>
        <v>688.32405484802928</v>
      </c>
      <c r="G917" s="36">
        <f t="shared" si="513"/>
        <v>1143.5500019955402</v>
      </c>
      <c r="H917" s="36">
        <f t="shared" si="513"/>
        <v>854.8894646702837</v>
      </c>
      <c r="I917" s="36">
        <f t="shared" si="513"/>
        <v>3398.7087047173964</v>
      </c>
      <c r="J917" s="36">
        <f t="shared" si="513"/>
        <v>2643.2271537950655</v>
      </c>
      <c r="K917" s="36">
        <f t="shared" si="513"/>
        <v>594.29385300484921</v>
      </c>
      <c r="L917" s="37" t="s">
        <v>131</v>
      </c>
    </row>
    <row r="918" spans="1:12" s="81" customFormat="1" ht="20.100000000000001" hidden="1" customHeight="1" thickBot="1" x14ac:dyDescent="0.3">
      <c r="A918" s="327" t="s">
        <v>1060</v>
      </c>
      <c r="B918" s="321" t="s">
        <v>95</v>
      </c>
      <c r="C918" s="35">
        <v>9904.7926979166659</v>
      </c>
      <c r="D918" s="35">
        <v>6627.6854999999996</v>
      </c>
      <c r="E918" s="35">
        <v>1440.611181985294</v>
      </c>
      <c r="F918" s="35">
        <v>765.43419424019601</v>
      </c>
      <c r="G918" s="35" t="s">
        <v>131</v>
      </c>
      <c r="H918" s="35">
        <v>807.59888725490191</v>
      </c>
      <c r="I918" s="35">
        <v>4171.5009883578432</v>
      </c>
      <c r="J918" s="35">
        <v>4181.0110202205879</v>
      </c>
      <c r="K918" s="9" t="s">
        <v>131</v>
      </c>
      <c r="L918" s="21" t="s">
        <v>131</v>
      </c>
    </row>
    <row r="919" spans="1:12" s="81" customFormat="1" ht="20.100000000000001" customHeight="1" x14ac:dyDescent="0.25">
      <c r="A919" s="327"/>
      <c r="B919" s="322"/>
      <c r="C919" s="10">
        <f>C918/12.79*19.53*1.039</f>
        <v>15714.213044920616</v>
      </c>
      <c r="D919" s="10">
        <f t="shared" ref="D919:J919" si="514">D918/12.79*19.53*1.039</f>
        <v>10514.996640327208</v>
      </c>
      <c r="E919" s="10">
        <f t="shared" si="514"/>
        <v>2285.5673731943339</v>
      </c>
      <c r="F919" s="10">
        <f t="shared" si="514"/>
        <v>1214.3813976730225</v>
      </c>
      <c r="G919" s="10" t="s">
        <v>131</v>
      </c>
      <c r="H919" s="10">
        <f t="shared" si="514"/>
        <v>1281.2767875327347</v>
      </c>
      <c r="I919" s="10">
        <f t="shared" si="514"/>
        <v>6618.1955793925872</v>
      </c>
      <c r="J919" s="10">
        <f t="shared" si="514"/>
        <v>6633.2834940327984</v>
      </c>
      <c r="K919" s="10" t="s">
        <v>131</v>
      </c>
      <c r="L919" s="21" t="s">
        <v>131</v>
      </c>
    </row>
    <row r="920" spans="1:12" s="81" customFormat="1" ht="20.100000000000001" customHeight="1" x14ac:dyDescent="0.25">
      <c r="A920" s="327"/>
      <c r="B920" s="322"/>
      <c r="C920" s="16">
        <f>C919*0.0214</f>
        <v>336.28415916130115</v>
      </c>
      <c r="D920" s="16">
        <f t="shared" ref="D920:J920" si="515">D919*0.0214</f>
        <v>225.02092810300223</v>
      </c>
      <c r="E920" s="16">
        <f t="shared" si="515"/>
        <v>48.911141786358741</v>
      </c>
      <c r="F920" s="16">
        <f t="shared" si="515"/>
        <v>25.987761910202682</v>
      </c>
      <c r="G920" s="16" t="s">
        <v>131</v>
      </c>
      <c r="H920" s="16">
        <f t="shared" si="515"/>
        <v>27.41932325320052</v>
      </c>
      <c r="I920" s="16">
        <f t="shared" si="515"/>
        <v>141.62938539900136</v>
      </c>
      <c r="J920" s="16">
        <f t="shared" si="515"/>
        <v>141.95226677230187</v>
      </c>
      <c r="K920" s="16" t="s">
        <v>131</v>
      </c>
      <c r="L920" s="15" t="s">
        <v>131</v>
      </c>
    </row>
    <row r="921" spans="1:12" s="81" customFormat="1" ht="20.100000000000001" hidden="1" customHeight="1" x14ac:dyDescent="0.25">
      <c r="A921" s="327"/>
      <c r="B921" s="322"/>
      <c r="C921" s="16">
        <f>11911/489.6</f>
        <v>24.328022875816991</v>
      </c>
      <c r="D921" s="16">
        <f>10850/257</f>
        <v>42.217898832684824</v>
      </c>
      <c r="E921" s="16">
        <f>9150/489.6</f>
        <v>18.688725490196077</v>
      </c>
      <c r="F921" s="16">
        <f>9336/2/489.6</f>
        <v>9.5343137254901951</v>
      </c>
      <c r="G921" s="16" t="s">
        <v>131</v>
      </c>
      <c r="H921" s="16">
        <f>F921</f>
        <v>9.5343137254901951</v>
      </c>
      <c r="I921" s="16">
        <f>9775/489.6</f>
        <v>19.965277777777779</v>
      </c>
      <c r="J921" s="16">
        <f>8535/489.6</f>
        <v>17.432598039215687</v>
      </c>
      <c r="K921" s="16" t="s">
        <v>131</v>
      </c>
      <c r="L921" s="15" t="s">
        <v>131</v>
      </c>
    </row>
    <row r="922" spans="1:12" s="81" customFormat="1" ht="20.100000000000001" hidden="1" customHeight="1" thickBot="1" x14ac:dyDescent="0.3">
      <c r="A922" s="327"/>
      <c r="B922" s="322"/>
      <c r="C922" s="9">
        <f>(1/489.6)*82658.76*1.2*P4</f>
        <v>250.93363385526308</v>
      </c>
      <c r="D922" s="91">
        <f>(1/489.6)*70259.64*1.2*P4</f>
        <v>213.29265982894734</v>
      </c>
      <c r="E922" s="9">
        <f>(1/489.6)*55105.5*1.2*P4</f>
        <v>167.28805707236842</v>
      </c>
      <c r="F922" s="9">
        <f>(1/489.6)*41329.38*1.2*P4</f>
        <v>125.46681692763154</v>
      </c>
      <c r="G922" s="9" t="s">
        <v>131</v>
      </c>
      <c r="H922" s="91">
        <f>(1/489.6)*41329.38*1.2*P4</f>
        <v>125.46681692763154</v>
      </c>
      <c r="I922" s="91">
        <f>(1/489.6)*54417*1.2*P4</f>
        <v>165.19792401315789</v>
      </c>
      <c r="J922" s="24">
        <f>(1/489.6)*67504.62*1.2*P4</f>
        <v>204.92903109868416</v>
      </c>
      <c r="K922" s="9" t="s">
        <v>131</v>
      </c>
      <c r="L922" s="20" t="s">
        <v>131</v>
      </c>
    </row>
    <row r="923" spans="1:12" s="81" customFormat="1" ht="20.100000000000001" customHeight="1" thickBot="1" x14ac:dyDescent="0.3">
      <c r="A923" s="327"/>
      <c r="B923" s="323"/>
      <c r="C923" s="18">
        <f>C922+C921</f>
        <v>275.26165673108005</v>
      </c>
      <c r="D923" s="18">
        <f t="shared" ref="D923:J923" si="516">D922+D921</f>
        <v>255.51055866163216</v>
      </c>
      <c r="E923" s="18">
        <f t="shared" si="516"/>
        <v>185.97678256256449</v>
      </c>
      <c r="F923" s="18">
        <f t="shared" si="516"/>
        <v>135.00113065312175</v>
      </c>
      <c r="G923" s="18" t="s">
        <v>131</v>
      </c>
      <c r="H923" s="18">
        <f t="shared" si="516"/>
        <v>135.00113065312175</v>
      </c>
      <c r="I923" s="18">
        <f t="shared" si="516"/>
        <v>185.16320179093566</v>
      </c>
      <c r="J923" s="18">
        <f t="shared" si="516"/>
        <v>222.36162913789985</v>
      </c>
      <c r="K923" s="18" t="s">
        <v>131</v>
      </c>
      <c r="L923" s="34" t="s">
        <v>131</v>
      </c>
    </row>
    <row r="924" spans="1:12" s="81" customFormat="1" ht="20.100000000000001" customHeight="1" thickBot="1" x14ac:dyDescent="0.3">
      <c r="A924" s="328"/>
      <c r="B924" s="265" t="s">
        <v>212</v>
      </c>
      <c r="C924" s="36">
        <f>SUM(C919:C922)</f>
        <v>16325.758860812999</v>
      </c>
      <c r="D924" s="36">
        <f t="shared" ref="D924:J924" si="517">SUM(D919:D922)</f>
        <v>10995.528127091842</v>
      </c>
      <c r="E924" s="36">
        <f t="shared" si="517"/>
        <v>2520.4552975432571</v>
      </c>
      <c r="F924" s="36">
        <f t="shared" si="517"/>
        <v>1375.3702902363468</v>
      </c>
      <c r="G924" s="36" t="s">
        <v>131</v>
      </c>
      <c r="H924" s="36">
        <f t="shared" si="517"/>
        <v>1443.6972414390568</v>
      </c>
      <c r="I924" s="36">
        <f t="shared" si="517"/>
        <v>6944.9881665825233</v>
      </c>
      <c r="J924" s="36">
        <f t="shared" si="517"/>
        <v>6997.597389943001</v>
      </c>
      <c r="K924" s="36" t="s">
        <v>131</v>
      </c>
      <c r="L924" s="37" t="s">
        <v>131</v>
      </c>
    </row>
    <row r="925" spans="1:12" s="53" customFormat="1" ht="21.95" customHeight="1" thickBot="1" x14ac:dyDescent="0.3">
      <c r="A925" s="311" t="s">
        <v>1061</v>
      </c>
      <c r="B925" s="312"/>
      <c r="C925" s="312"/>
      <c r="D925" s="312"/>
      <c r="E925" s="312"/>
      <c r="F925" s="312"/>
      <c r="G925" s="312"/>
      <c r="H925" s="312"/>
      <c r="I925" s="312"/>
      <c r="J925" s="312"/>
      <c r="K925" s="312"/>
      <c r="L925" s="313"/>
    </row>
    <row r="926" spans="1:12" s="81" customFormat="1" ht="20.100000000000001" hidden="1" customHeight="1" thickBot="1" x14ac:dyDescent="0.3">
      <c r="A926" s="327" t="s">
        <v>1062</v>
      </c>
      <c r="B926" s="321" t="s">
        <v>46</v>
      </c>
      <c r="C926" s="9">
        <v>4107.9762353576161</v>
      </c>
      <c r="D926" s="9">
        <v>7306.2186429319372</v>
      </c>
      <c r="E926" s="9">
        <v>554.84045236283032</v>
      </c>
      <c r="F926" s="9">
        <v>386.3381095140615</v>
      </c>
      <c r="G926" s="9">
        <v>902.75145544554448</v>
      </c>
      <c r="H926" s="9">
        <v>450.01248522336704</v>
      </c>
      <c r="I926" s="9">
        <v>1433.978585572843</v>
      </c>
      <c r="J926" s="9">
        <v>1730.4886353793422</v>
      </c>
      <c r="K926" s="9">
        <v>398.2170062720466</v>
      </c>
      <c r="L926" s="21" t="s">
        <v>131</v>
      </c>
    </row>
    <row r="927" spans="1:12" s="81" customFormat="1" ht="20.100000000000001" customHeight="1" x14ac:dyDescent="0.25">
      <c r="A927" s="327"/>
      <c r="B927" s="322"/>
      <c r="C927" s="10">
        <f>C926/13.19*19.53*1.039</f>
        <v>6319.7648321242677</v>
      </c>
      <c r="D927" s="10">
        <f t="shared" ref="D927:K927" si="518">D926/13.19*19.53*1.039</f>
        <v>11239.983142549105</v>
      </c>
      <c r="E927" s="10">
        <f t="shared" si="518"/>
        <v>853.5738712659039</v>
      </c>
      <c r="F927" s="10">
        <f t="shared" si="518"/>
        <v>594.34764417613314</v>
      </c>
      <c r="G927" s="10">
        <f t="shared" si="518"/>
        <v>1388.8047479848894</v>
      </c>
      <c r="H927" s="10">
        <f t="shared" si="518"/>
        <v>692.30514374772099</v>
      </c>
      <c r="I927" s="10">
        <f t="shared" si="518"/>
        <v>2206.051572821144</v>
      </c>
      <c r="J927" s="10">
        <f t="shared" si="518"/>
        <v>2662.2065449482898</v>
      </c>
      <c r="K927" s="10">
        <f t="shared" si="518"/>
        <v>612.62229565278994</v>
      </c>
      <c r="L927" s="21" t="s">
        <v>131</v>
      </c>
    </row>
    <row r="928" spans="1:12" s="81" customFormat="1" ht="20.100000000000001" customHeight="1" x14ac:dyDescent="0.25">
      <c r="A928" s="327"/>
      <c r="B928" s="322"/>
      <c r="C928" s="16">
        <f>C926*0.0214</f>
        <v>87.910691436652982</v>
      </c>
      <c r="D928" s="16">
        <f t="shared" ref="D928:K928" si="519">D926*0.0214</f>
        <v>156.35307895874345</v>
      </c>
      <c r="E928" s="16">
        <f t="shared" si="519"/>
        <v>11.873585680564569</v>
      </c>
      <c r="F928" s="16">
        <f t="shared" si="519"/>
        <v>8.2676355436009157</v>
      </c>
      <c r="G928" s="16">
        <f t="shared" si="519"/>
        <v>19.31888114653465</v>
      </c>
      <c r="H928" s="16">
        <f t="shared" si="519"/>
        <v>9.6302671837800542</v>
      </c>
      <c r="I928" s="16">
        <f t="shared" si="519"/>
        <v>30.687141731258841</v>
      </c>
      <c r="J928" s="16">
        <f t="shared" si="519"/>
        <v>37.032456797117923</v>
      </c>
      <c r="K928" s="16">
        <f t="shared" si="519"/>
        <v>8.5218439342217973</v>
      </c>
      <c r="L928" s="15" t="s">
        <v>131</v>
      </c>
    </row>
    <row r="929" spans="1:12" s="81" customFormat="1" ht="20.100000000000001" hidden="1" customHeight="1" x14ac:dyDescent="0.25">
      <c r="A929" s="327"/>
      <c r="B929" s="322"/>
      <c r="C929" s="16">
        <f>11620/1484.7</f>
        <v>7.8264969354078264</v>
      </c>
      <c r="D929" s="16">
        <f>8981/390</f>
        <v>23.02820512820513</v>
      </c>
      <c r="E929" s="16">
        <f>5494/1484.7</f>
        <v>3.7004108574122716</v>
      </c>
      <c r="F929" s="16">
        <f>10714/2/1484.7</f>
        <v>3.6081363238364652</v>
      </c>
      <c r="G929" s="16">
        <f>8053/1484.7</f>
        <v>5.4239913787297098</v>
      </c>
      <c r="H929" s="16">
        <f>F929</f>
        <v>3.6081363238364652</v>
      </c>
      <c r="I929" s="16">
        <f>11380/1484.7</f>
        <v>7.6648481174648078</v>
      </c>
      <c r="J929" s="16">
        <f>3228/1484.7</f>
        <v>2.1741766013336026</v>
      </c>
      <c r="K929" s="16">
        <f>J929</f>
        <v>2.1741766013336026</v>
      </c>
      <c r="L929" s="15" t="s">
        <v>131</v>
      </c>
    </row>
    <row r="930" spans="1:12" s="81" customFormat="1" ht="20.100000000000001" hidden="1" customHeight="1" thickBot="1" x14ac:dyDescent="0.3">
      <c r="A930" s="327"/>
      <c r="B930" s="322"/>
      <c r="C930" s="18">
        <f>(1/1484.7)*190109.64*1.2*P4</f>
        <v>190.316669885208</v>
      </c>
      <c r="D930" s="18">
        <f>(1/490)*66538.68*1.2*P4</f>
        <v>201.8317566029645</v>
      </c>
      <c r="E930" s="18">
        <f>(1/1484.7)*126740.1*1.2*P4</f>
        <v>126.87812029373288</v>
      </c>
      <c r="F930" s="18">
        <f>(1/1484.7)*95054.82*1.2*P4</f>
        <v>95.158334942604</v>
      </c>
      <c r="G930" s="19">
        <f>(1/1484.7)*95054.82*1.2*P4</f>
        <v>95.158334942604</v>
      </c>
      <c r="H930" s="19">
        <f>(1/1484.7)*95054.82*1.2*P4</f>
        <v>95.158334942604</v>
      </c>
      <c r="I930" s="19">
        <f>(1/1484.7)*125155.02*1.2*P4</f>
        <v>125.29131413755036</v>
      </c>
      <c r="J930" s="19">
        <f>(1/1484.7)*155256.24*1.2*P4</f>
        <v>155.42531444327929</v>
      </c>
      <c r="K930" s="18">
        <f>(1/1484.7)*66538.68*1.2*P4</f>
        <v>66.611140793057587</v>
      </c>
      <c r="L930" s="15" t="s">
        <v>131</v>
      </c>
    </row>
    <row r="931" spans="1:12" s="81" customFormat="1" ht="20.100000000000001" customHeight="1" thickBot="1" x14ac:dyDescent="0.3">
      <c r="A931" s="327"/>
      <c r="B931" s="323"/>
      <c r="C931" s="18">
        <f>C930+C929</f>
        <v>198.14316682061582</v>
      </c>
      <c r="D931" s="18">
        <f t="shared" ref="D931:K931" si="520">D930+D929</f>
        <v>224.85996173116962</v>
      </c>
      <c r="E931" s="18">
        <f t="shared" si="520"/>
        <v>130.57853115114514</v>
      </c>
      <c r="F931" s="18">
        <f t="shared" si="520"/>
        <v>98.766471266440462</v>
      </c>
      <c r="G931" s="18">
        <f t="shared" si="520"/>
        <v>100.58232632133371</v>
      </c>
      <c r="H931" s="18">
        <f t="shared" si="520"/>
        <v>98.766471266440462</v>
      </c>
      <c r="I931" s="18">
        <f t="shared" si="520"/>
        <v>132.95616225501516</v>
      </c>
      <c r="J931" s="18">
        <f t="shared" si="520"/>
        <v>157.5994910446129</v>
      </c>
      <c r="K931" s="18">
        <f t="shared" si="520"/>
        <v>68.785317394391186</v>
      </c>
      <c r="L931" s="26" t="s">
        <v>131</v>
      </c>
    </row>
    <row r="932" spans="1:12" s="81" customFormat="1" ht="20.100000000000001" customHeight="1" thickBot="1" x14ac:dyDescent="0.3">
      <c r="A932" s="328"/>
      <c r="B932" s="259" t="s">
        <v>212</v>
      </c>
      <c r="C932" s="36">
        <f>SUM(C927:C930)</f>
        <v>6605.8186903815367</v>
      </c>
      <c r="D932" s="36">
        <f t="shared" ref="D932:K932" si="521">SUM(D927:D930)</f>
        <v>11621.196183239017</v>
      </c>
      <c r="E932" s="36">
        <f t="shared" si="521"/>
        <v>996.02598809761366</v>
      </c>
      <c r="F932" s="36">
        <f t="shared" si="521"/>
        <v>701.38175098617455</v>
      </c>
      <c r="G932" s="36">
        <f t="shared" si="521"/>
        <v>1508.7059554527577</v>
      </c>
      <c r="H932" s="36">
        <f t="shared" si="521"/>
        <v>800.70188219794147</v>
      </c>
      <c r="I932" s="36">
        <f t="shared" si="521"/>
        <v>2369.6948768074176</v>
      </c>
      <c r="J932" s="36">
        <f t="shared" si="521"/>
        <v>2856.8384927900206</v>
      </c>
      <c r="K932" s="36">
        <f t="shared" si="521"/>
        <v>689.92945698140284</v>
      </c>
      <c r="L932" s="37" t="s">
        <v>131</v>
      </c>
    </row>
    <row r="933" spans="1:12" s="81" customFormat="1" ht="20.100000000000001" hidden="1" customHeight="1" thickBot="1" x14ac:dyDescent="0.3">
      <c r="A933" s="327" t="s">
        <v>1063</v>
      </c>
      <c r="B933" s="321" t="s">
        <v>47</v>
      </c>
      <c r="C933" s="9">
        <v>3992.3918781268117</v>
      </c>
      <c r="D933" s="9">
        <v>4365.2654328888893</v>
      </c>
      <c r="E933" s="9">
        <v>419.92926403046931</v>
      </c>
      <c r="F933" s="9">
        <v>341.41231293491256</v>
      </c>
      <c r="G933" s="9">
        <v>596.17446484264258</v>
      </c>
      <c r="H933" s="9">
        <v>362.24170516963147</v>
      </c>
      <c r="I933" s="9">
        <v>1950.3655484122485</v>
      </c>
      <c r="J933" s="9">
        <v>1499.3275336247411</v>
      </c>
      <c r="K933" s="9">
        <v>346.48590146475908</v>
      </c>
      <c r="L933" s="21" t="s">
        <v>131</v>
      </c>
    </row>
    <row r="934" spans="1:12" s="81" customFormat="1" ht="20.100000000000001" customHeight="1" x14ac:dyDescent="0.25">
      <c r="A934" s="327"/>
      <c r="B934" s="322"/>
      <c r="C934" s="7">
        <f>C933/13.19*19.53*1.039</f>
        <v>6141.9483321932885</v>
      </c>
      <c r="D934" s="7">
        <f t="shared" ref="D934:K934" si="522">D933/13.19*19.53*1.039</f>
        <v>6715.5819277170949</v>
      </c>
      <c r="E934" s="7">
        <f t="shared" si="522"/>
        <v>646.02471941236945</v>
      </c>
      <c r="F934" s="7">
        <f t="shared" si="522"/>
        <v>525.23320606610901</v>
      </c>
      <c r="G934" s="7">
        <f t="shared" si="522"/>
        <v>917.16266133536806</v>
      </c>
      <c r="H934" s="7">
        <f t="shared" si="522"/>
        <v>557.27741785742649</v>
      </c>
      <c r="I934" s="7">
        <f t="shared" si="522"/>
        <v>3000.4680885330076</v>
      </c>
      <c r="J934" s="7">
        <f t="shared" si="522"/>
        <v>2306.5852565752202</v>
      </c>
      <c r="K934" s="7">
        <f t="shared" si="522"/>
        <v>533.03848159025074</v>
      </c>
      <c r="L934" s="21" t="s">
        <v>131</v>
      </c>
    </row>
    <row r="935" spans="1:12" s="81" customFormat="1" ht="20.100000000000001" customHeight="1" x14ac:dyDescent="0.25">
      <c r="A935" s="327"/>
      <c r="B935" s="322"/>
      <c r="C935" s="35">
        <f>C934*0.0214</f>
        <v>131.43769430893636</v>
      </c>
      <c r="D935" s="35">
        <f t="shared" ref="D935:K935" si="523">D934*0.0214</f>
        <v>143.71345325314581</v>
      </c>
      <c r="E935" s="35">
        <f t="shared" si="523"/>
        <v>13.824928995424706</v>
      </c>
      <c r="F935" s="35">
        <f t="shared" si="523"/>
        <v>11.239990609814733</v>
      </c>
      <c r="G935" s="35">
        <f t="shared" si="523"/>
        <v>19.627280952576875</v>
      </c>
      <c r="H935" s="35">
        <f t="shared" si="523"/>
        <v>11.925736742148926</v>
      </c>
      <c r="I935" s="35">
        <f t="shared" si="523"/>
        <v>64.210017094606357</v>
      </c>
      <c r="J935" s="35">
        <f t="shared" si="523"/>
        <v>49.360924490709714</v>
      </c>
      <c r="K935" s="35">
        <f t="shared" si="523"/>
        <v>11.407023506031365</v>
      </c>
      <c r="L935" s="15" t="s">
        <v>131</v>
      </c>
    </row>
    <row r="936" spans="1:12" s="81" customFormat="1" ht="20.100000000000001" hidden="1" customHeight="1" x14ac:dyDescent="0.25">
      <c r="A936" s="327"/>
      <c r="B936" s="322"/>
      <c r="C936" s="16">
        <f>26273/4232.4</f>
        <v>6.2075890747566396</v>
      </c>
      <c r="D936" s="16">
        <f>19851/847</f>
        <v>23.436835891381346</v>
      </c>
      <c r="E936" s="16">
        <f>13071/4232.4</f>
        <v>3.0883186844343635</v>
      </c>
      <c r="F936" s="16">
        <f>61619/2/4232.4</f>
        <v>7.2794395614781218</v>
      </c>
      <c r="G936" s="16">
        <f>55791/4232.4</f>
        <v>13.181882619790191</v>
      </c>
      <c r="H936" s="16">
        <f>F936</f>
        <v>7.2794395614781218</v>
      </c>
      <c r="I936" s="16">
        <f>65504/4232.4</f>
        <v>15.476798034212269</v>
      </c>
      <c r="J936" s="16">
        <f>5848/4232.4</f>
        <v>1.3817219544466497</v>
      </c>
      <c r="K936" s="16">
        <f>J936</f>
        <v>1.3817219544466497</v>
      </c>
      <c r="L936" s="15" t="s">
        <v>131</v>
      </c>
    </row>
    <row r="937" spans="1:12" s="81" customFormat="1" ht="20.100000000000001" hidden="1" customHeight="1" thickBot="1" x14ac:dyDescent="0.3">
      <c r="A937" s="327"/>
      <c r="B937" s="322"/>
      <c r="C937" s="18">
        <f>(1/4232.4)*296876.1*1.2*P4</f>
        <v>104.25572900683447</v>
      </c>
      <c r="D937" s="18">
        <f>(1/847)*103906.38*1.2*P4</f>
        <v>182.33506800022366</v>
      </c>
      <c r="E937" s="18">
        <f>(1/4232.4)*197916.72*1.2*P4</f>
        <v>69.503580538283614</v>
      </c>
      <c r="F937" s="18">
        <f>(1/4232.4)*148437.54*1.2*P4</f>
        <v>52.127685403712711</v>
      </c>
      <c r="G937" s="19">
        <f>(1/4232.4)*148437.54*1.2*P4</f>
        <v>52.127685403712711</v>
      </c>
      <c r="H937" s="19">
        <f>(1/4232.4)*148437.54*1.2*P4</f>
        <v>52.127685403712711</v>
      </c>
      <c r="I937" s="19">
        <f>(1/4232.4)*195443.22*1.2*P4</f>
        <v>68.634946971289153</v>
      </c>
      <c r="J937" s="19">
        <f>(1/4232.4)*242448.9*1.2*P4</f>
        <v>85.142208538865574</v>
      </c>
      <c r="K937" s="18">
        <f>(1/4232.4)*103906.38*1.2*P4</f>
        <v>36.489415602539808</v>
      </c>
      <c r="L937" s="15" t="s">
        <v>131</v>
      </c>
    </row>
    <row r="938" spans="1:12" s="81" customFormat="1" ht="20.100000000000001" customHeight="1" thickBot="1" x14ac:dyDescent="0.3">
      <c r="A938" s="327"/>
      <c r="B938" s="323"/>
      <c r="C938" s="18">
        <f>C937+C936</f>
        <v>110.46331808159111</v>
      </c>
      <c r="D938" s="18">
        <f t="shared" ref="D938:K938" si="524">D937+D936</f>
        <v>205.77190389160501</v>
      </c>
      <c r="E938" s="18">
        <f t="shared" si="524"/>
        <v>72.591899222717984</v>
      </c>
      <c r="F938" s="18">
        <f t="shared" si="524"/>
        <v>59.407124965190832</v>
      </c>
      <c r="G938" s="18">
        <f t="shared" si="524"/>
        <v>65.309568023502905</v>
      </c>
      <c r="H938" s="18">
        <f t="shared" si="524"/>
        <v>59.407124965190832</v>
      </c>
      <c r="I938" s="18">
        <f t="shared" si="524"/>
        <v>84.111745005501419</v>
      </c>
      <c r="J938" s="18">
        <f t="shared" si="524"/>
        <v>86.523930493312221</v>
      </c>
      <c r="K938" s="18">
        <f t="shared" si="524"/>
        <v>37.871137556986454</v>
      </c>
      <c r="L938" s="26" t="s">
        <v>131</v>
      </c>
    </row>
    <row r="939" spans="1:12" s="81" customFormat="1" ht="20.100000000000001" customHeight="1" thickBot="1" x14ac:dyDescent="0.3">
      <c r="A939" s="328"/>
      <c r="B939" s="259" t="s">
        <v>212</v>
      </c>
      <c r="C939" s="36">
        <f>SUM(C934:C937)</f>
        <v>6383.8493445838158</v>
      </c>
      <c r="D939" s="36">
        <f t="shared" ref="D939:K939" si="525">SUM(D934:D937)</f>
        <v>7065.067284861846</v>
      </c>
      <c r="E939" s="36">
        <f t="shared" si="525"/>
        <v>732.4415476305121</v>
      </c>
      <c r="F939" s="36">
        <f t="shared" si="525"/>
        <v>595.88032164111462</v>
      </c>
      <c r="G939" s="36">
        <f t="shared" si="525"/>
        <v>1002.0995103114477</v>
      </c>
      <c r="H939" s="36">
        <f t="shared" si="525"/>
        <v>628.6102795647663</v>
      </c>
      <c r="I939" s="36">
        <f t="shared" si="525"/>
        <v>3148.7898506331153</v>
      </c>
      <c r="J939" s="36">
        <f t="shared" si="525"/>
        <v>2442.470111559242</v>
      </c>
      <c r="K939" s="36">
        <f t="shared" si="525"/>
        <v>582.31664265326856</v>
      </c>
      <c r="L939" s="37" t="s">
        <v>131</v>
      </c>
    </row>
    <row r="940" spans="1:12" s="73" customFormat="1" ht="20.100000000000001" hidden="1" customHeight="1" thickBot="1" x14ac:dyDescent="0.3">
      <c r="A940" s="327" t="s">
        <v>1064</v>
      </c>
      <c r="B940" s="321" t="s">
        <v>182</v>
      </c>
      <c r="C940" s="9">
        <v>5001.032154353562</v>
      </c>
      <c r="D940" s="9">
        <v>6385.151226</v>
      </c>
      <c r="E940" s="9">
        <v>822.92803122251541</v>
      </c>
      <c r="F940" s="9">
        <v>469.8953135444151</v>
      </c>
      <c r="G940" s="9">
        <v>1151.7197612137202</v>
      </c>
      <c r="H940" s="9">
        <v>481.47775241864559</v>
      </c>
      <c r="I940" s="9">
        <v>2727.9057810026384</v>
      </c>
      <c r="J940" s="9">
        <v>2548.4441706244497</v>
      </c>
      <c r="K940" s="92" t="s">
        <v>131</v>
      </c>
      <c r="L940" s="62" t="s">
        <v>131</v>
      </c>
    </row>
    <row r="941" spans="1:12" s="73" customFormat="1" ht="20.100000000000001" customHeight="1" x14ac:dyDescent="0.25">
      <c r="A941" s="327"/>
      <c r="B941" s="322"/>
      <c r="C941" s="10">
        <f>C940/14.06*19.53*1.039</f>
        <v>7217.588487591147</v>
      </c>
      <c r="D941" s="10">
        <f t="shared" ref="D941:J941" si="526">D940/14.06*19.53*1.039</f>
        <v>9215.1764991527325</v>
      </c>
      <c r="E941" s="10">
        <f t="shared" si="526"/>
        <v>1187.6660059258163</v>
      </c>
      <c r="F941" s="10">
        <f t="shared" si="526"/>
        <v>678.16220746726901</v>
      </c>
      <c r="G941" s="10">
        <f t="shared" si="526"/>
        <v>1662.1847316520345</v>
      </c>
      <c r="H941" s="10">
        <f t="shared" si="526"/>
        <v>694.87821226321898</v>
      </c>
      <c r="I941" s="10">
        <f t="shared" si="526"/>
        <v>3936.9675603981373</v>
      </c>
      <c r="J941" s="10">
        <f t="shared" si="526"/>
        <v>3677.9650159128751</v>
      </c>
      <c r="K941" s="23" t="s">
        <v>131</v>
      </c>
      <c r="L941" s="15" t="s">
        <v>131</v>
      </c>
    </row>
    <row r="942" spans="1:12" s="73" customFormat="1" ht="20.100000000000001" customHeight="1" x14ac:dyDescent="0.25">
      <c r="A942" s="327"/>
      <c r="B942" s="322"/>
      <c r="C942" s="16">
        <f>C941*0.0214</f>
        <v>154.45639363445054</v>
      </c>
      <c r="D942" s="16">
        <f t="shared" ref="D942:J942" si="527">D941*0.0214</f>
        <v>197.20477708186846</v>
      </c>
      <c r="E942" s="16">
        <f t="shared" si="527"/>
        <v>25.416052526812468</v>
      </c>
      <c r="F942" s="16">
        <f t="shared" si="527"/>
        <v>14.512671239799555</v>
      </c>
      <c r="G942" s="16">
        <f t="shared" si="527"/>
        <v>35.570753257353537</v>
      </c>
      <c r="H942" s="16">
        <f t="shared" si="527"/>
        <v>14.870393742432885</v>
      </c>
      <c r="I942" s="16">
        <f t="shared" si="527"/>
        <v>84.251105792520136</v>
      </c>
      <c r="J942" s="16">
        <f t="shared" si="527"/>
        <v>78.708451340535518</v>
      </c>
      <c r="K942" s="16" t="s">
        <v>131</v>
      </c>
      <c r="L942" s="15" t="s">
        <v>131</v>
      </c>
    </row>
    <row r="943" spans="1:12" s="73" customFormat="1" ht="20.100000000000001" hidden="1" customHeight="1" x14ac:dyDescent="0.25">
      <c r="A943" s="327"/>
      <c r="B943" s="322"/>
      <c r="C943" s="16">
        <f>6038/552.3</f>
        <v>10.932464240449033</v>
      </c>
      <c r="D943" s="16">
        <f>4840/290</f>
        <v>16.689655172413794</v>
      </c>
      <c r="E943" s="16">
        <f>2923/552.3</f>
        <v>5.2924135433641144</v>
      </c>
      <c r="F943" s="16">
        <f>3875/2/552.3</f>
        <v>3.5080572152815503</v>
      </c>
      <c r="G943" s="16">
        <f>3627/552.3</f>
        <v>6.5670831070070621</v>
      </c>
      <c r="H943" s="16">
        <f>F943</f>
        <v>3.5080572152815503</v>
      </c>
      <c r="I943" s="16">
        <f>5112/552.3</f>
        <v>9.2558392178164048</v>
      </c>
      <c r="J943" s="16">
        <f>2229/552.3</f>
        <v>4.0358500814774585</v>
      </c>
      <c r="K943" s="16" t="s">
        <v>131</v>
      </c>
      <c r="L943" s="15" t="s">
        <v>131</v>
      </c>
    </row>
    <row r="944" spans="1:12" s="73" customFormat="1" ht="20.100000000000001" hidden="1" customHeight="1" thickBot="1" x14ac:dyDescent="0.3">
      <c r="A944" s="327"/>
      <c r="B944" s="322"/>
      <c r="C944" s="18">
        <f>(1/682.2)*84902.76*1.2*P4</f>
        <v>184.97860177253156</v>
      </c>
      <c r="D944" s="18">
        <f>(1/682.2)*72167.04*1.2*P4</f>
        <v>157.23114482099706</v>
      </c>
      <c r="E944" s="18">
        <f>(1/682.2)*56601.84*1.2*P4</f>
        <v>123.31906784835435</v>
      </c>
      <c r="F944" s="18">
        <f>(1/682.2)*42451.38*1.2*P4</f>
        <v>92.489300886265781</v>
      </c>
      <c r="G944" s="19">
        <f>(1/682.2)*42451.38*1.2*P4</f>
        <v>92.489300886265781</v>
      </c>
      <c r="H944" s="19">
        <f>(1/682.2)*42451.38*1.2*P4</f>
        <v>92.489300886265781</v>
      </c>
      <c r="I944" s="19">
        <f>(1/682.2)*55893.96*1.2*P4</f>
        <v>121.77680170031938</v>
      </c>
      <c r="J944" s="19">
        <f>(1/682.2)*69337.56*1.2*P4</f>
        <v>151.06652479988887</v>
      </c>
      <c r="K944" s="18" t="s">
        <v>131</v>
      </c>
      <c r="L944" s="20" t="s">
        <v>131</v>
      </c>
    </row>
    <row r="945" spans="1:12" s="73" customFormat="1" ht="20.100000000000001" customHeight="1" thickBot="1" x14ac:dyDescent="0.3">
      <c r="A945" s="327"/>
      <c r="B945" s="323"/>
      <c r="C945" s="18">
        <f>C944+C943</f>
        <v>195.9110660129806</v>
      </c>
      <c r="D945" s="18">
        <f t="shared" ref="D945:J945" si="528">D944+D943</f>
        <v>173.92079999341087</v>
      </c>
      <c r="E945" s="18">
        <f t="shared" si="528"/>
        <v>128.61148139171846</v>
      </c>
      <c r="F945" s="18">
        <f t="shared" si="528"/>
        <v>95.997358101547334</v>
      </c>
      <c r="G945" s="18">
        <f t="shared" si="528"/>
        <v>99.056383993272846</v>
      </c>
      <c r="H945" s="18">
        <f t="shared" si="528"/>
        <v>95.997358101547334</v>
      </c>
      <c r="I945" s="18">
        <f t="shared" si="528"/>
        <v>131.0326409181358</v>
      </c>
      <c r="J945" s="18">
        <f t="shared" si="528"/>
        <v>155.10237488136633</v>
      </c>
      <c r="K945" s="18" t="s">
        <v>131</v>
      </c>
      <c r="L945" s="34" t="s">
        <v>131</v>
      </c>
    </row>
    <row r="946" spans="1:12" s="73" customFormat="1" ht="20.100000000000001" customHeight="1" thickBot="1" x14ac:dyDescent="0.3">
      <c r="A946" s="328"/>
      <c r="B946" s="259" t="s">
        <v>212</v>
      </c>
      <c r="C946" s="36">
        <f>SUM(C941:C944)</f>
        <v>7567.9559472385781</v>
      </c>
      <c r="D946" s="36">
        <f t="shared" ref="D946:J946" si="529">SUM(D941:D944)</f>
        <v>9586.3020762280103</v>
      </c>
      <c r="E946" s="36">
        <f t="shared" si="529"/>
        <v>1341.6935398443472</v>
      </c>
      <c r="F946" s="36">
        <f t="shared" si="529"/>
        <v>788.67223680861593</v>
      </c>
      <c r="G946" s="36">
        <f t="shared" si="529"/>
        <v>1796.8118689026608</v>
      </c>
      <c r="H946" s="36">
        <f t="shared" si="529"/>
        <v>805.74596410719914</v>
      </c>
      <c r="I946" s="36">
        <f t="shared" si="529"/>
        <v>4152.2513071087933</v>
      </c>
      <c r="J946" s="36">
        <f t="shared" si="529"/>
        <v>3911.7758421347771</v>
      </c>
      <c r="K946" s="36" t="s">
        <v>131</v>
      </c>
      <c r="L946" s="37" t="s">
        <v>131</v>
      </c>
    </row>
    <row r="947" spans="1:12" s="81" customFormat="1" ht="20.100000000000001" hidden="1" customHeight="1" thickBot="1" x14ac:dyDescent="0.3">
      <c r="A947" s="327" t="s">
        <v>1065</v>
      </c>
      <c r="B947" s="321" t="s">
        <v>96</v>
      </c>
      <c r="C947" s="9">
        <v>6234.2800532319397</v>
      </c>
      <c r="D947" s="9">
        <v>6756.9420599999994</v>
      </c>
      <c r="E947" s="9">
        <v>1014.9157490494298</v>
      </c>
      <c r="F947" s="9">
        <v>579.46495057034235</v>
      </c>
      <c r="G947" s="9">
        <v>1421.8468555133081</v>
      </c>
      <c r="H947" s="9">
        <v>606.08525475285171</v>
      </c>
      <c r="I947" s="9">
        <v>3366.7842053231943</v>
      </c>
      <c r="J947" s="9">
        <v>3313.3716844106466</v>
      </c>
      <c r="K947" s="23" t="s">
        <v>131</v>
      </c>
      <c r="L947" s="21" t="s">
        <v>131</v>
      </c>
    </row>
    <row r="948" spans="1:12" s="81" customFormat="1" ht="20.100000000000001" customHeight="1" x14ac:dyDescent="0.25">
      <c r="A948" s="327"/>
      <c r="B948" s="322"/>
      <c r="C948" s="10">
        <f>C947/14.06*19.53*1.039</f>
        <v>8997.4362395280896</v>
      </c>
      <c r="D948" s="10">
        <f t="shared" ref="D948:J948" si="530">D947/14.06*19.53*1.039</f>
        <v>9751.752381980099</v>
      </c>
      <c r="E948" s="10">
        <f t="shared" si="530"/>
        <v>1464.746476352336</v>
      </c>
      <c r="F948" s="10">
        <f t="shared" si="530"/>
        <v>836.29527407821467</v>
      </c>
      <c r="G948" s="10">
        <f t="shared" si="530"/>
        <v>2052.0374952072352</v>
      </c>
      <c r="H948" s="10">
        <f t="shared" si="530"/>
        <v>874.71422342182063</v>
      </c>
      <c r="I948" s="10">
        <f t="shared" si="530"/>
        <v>4859.0095345398649</v>
      </c>
      <c r="J948" s="10">
        <f t="shared" si="530"/>
        <v>4781.9235282649342</v>
      </c>
      <c r="K948" s="23" t="s">
        <v>131</v>
      </c>
      <c r="L948" s="21" t="s">
        <v>131</v>
      </c>
    </row>
    <row r="949" spans="1:12" s="81" customFormat="1" ht="20.100000000000001" customHeight="1" x14ac:dyDescent="0.25">
      <c r="A949" s="327"/>
      <c r="B949" s="322"/>
      <c r="C949" s="16">
        <f>C948*0.0214</f>
        <v>192.54513552590112</v>
      </c>
      <c r="D949" s="16">
        <f t="shared" ref="D949:J949" si="531">D948*0.0214</f>
        <v>208.6875009743741</v>
      </c>
      <c r="E949" s="16">
        <f t="shared" si="531"/>
        <v>31.34557459393999</v>
      </c>
      <c r="F949" s="16">
        <f t="shared" si="531"/>
        <v>17.896718865273794</v>
      </c>
      <c r="G949" s="16">
        <f t="shared" si="531"/>
        <v>43.913602397434829</v>
      </c>
      <c r="H949" s="16">
        <f t="shared" si="531"/>
        <v>18.71888438122696</v>
      </c>
      <c r="I949" s="16">
        <f t="shared" si="531"/>
        <v>103.98280403915311</v>
      </c>
      <c r="J949" s="16">
        <f t="shared" si="531"/>
        <v>102.33316350486959</v>
      </c>
      <c r="K949" s="16" t="s">
        <v>131</v>
      </c>
      <c r="L949" s="15" t="s">
        <v>131</v>
      </c>
    </row>
    <row r="950" spans="1:12" s="81" customFormat="1" ht="20.100000000000001" hidden="1" customHeight="1" x14ac:dyDescent="0.25">
      <c r="A950" s="327"/>
      <c r="B950" s="322"/>
      <c r="C950" s="16">
        <f>6038/552.3</f>
        <v>10.932464240449033</v>
      </c>
      <c r="D950" s="16">
        <f>4840/290</f>
        <v>16.689655172413794</v>
      </c>
      <c r="E950" s="16">
        <f>2923/552.3</f>
        <v>5.2924135433641144</v>
      </c>
      <c r="F950" s="16">
        <f>3875/2/552.3</f>
        <v>3.5080572152815503</v>
      </c>
      <c r="G950" s="16">
        <f>3627/552.3</f>
        <v>6.5670831070070621</v>
      </c>
      <c r="H950" s="16">
        <f>F950</f>
        <v>3.5080572152815503</v>
      </c>
      <c r="I950" s="16">
        <f>5112/552.3</f>
        <v>9.2558392178164048</v>
      </c>
      <c r="J950" s="16">
        <f>2229/552.3</f>
        <v>4.0358500814774585</v>
      </c>
      <c r="K950" s="16" t="s">
        <v>131</v>
      </c>
      <c r="L950" s="15" t="s">
        <v>131</v>
      </c>
    </row>
    <row r="951" spans="1:12" s="81" customFormat="1" ht="20.100000000000001" hidden="1" customHeight="1" thickBot="1" x14ac:dyDescent="0.3">
      <c r="A951" s="327"/>
      <c r="B951" s="322"/>
      <c r="C951" s="18">
        <f>(1/552.3)*83673.66*1.2*P4</f>
        <v>225.17756671843108</v>
      </c>
      <c r="D951" s="18">
        <f>(1/276)*29286.24*1.2*P4</f>
        <v>157.71243389107548</v>
      </c>
      <c r="E951" s="18">
        <f>(1/552.3)*55782.78*1.2*P4</f>
        <v>150.11929280002286</v>
      </c>
      <c r="F951" s="18">
        <f>(1/552.3)*41837.34*1.2*P4</f>
        <v>112.59015584081878</v>
      </c>
      <c r="G951" s="19">
        <f>(1/552.3)*41837.34*1.2*P4</f>
        <v>112.59015584081878</v>
      </c>
      <c r="H951" s="19">
        <f>(1/552.3)*41837.34*1.2*P4</f>
        <v>112.59015584081878</v>
      </c>
      <c r="I951" s="19">
        <f>(1/552.3)*55085.1/1.5*1.2*P4</f>
        <v>98.827825311186714</v>
      </c>
      <c r="J951" s="19">
        <f>(1/552.3)*68333.88/2*1.2*P4</f>
        <v>91.948032527973936</v>
      </c>
      <c r="K951" s="9" t="s">
        <v>131</v>
      </c>
      <c r="L951" s="20" t="s">
        <v>131</v>
      </c>
    </row>
    <row r="952" spans="1:12" s="81" customFormat="1" ht="20.100000000000001" customHeight="1" thickBot="1" x14ac:dyDescent="0.3">
      <c r="A952" s="327"/>
      <c r="B952" s="323"/>
      <c r="C952" s="18">
        <f>C951+C950</f>
        <v>236.11003095888012</v>
      </c>
      <c r="D952" s="18">
        <f t="shared" ref="D952:J952" si="532">D951+D950</f>
        <v>174.40208906348926</v>
      </c>
      <c r="E952" s="18">
        <f t="shared" si="532"/>
        <v>155.41170634338698</v>
      </c>
      <c r="F952" s="18">
        <f t="shared" si="532"/>
        <v>116.09821305610033</v>
      </c>
      <c r="G952" s="18">
        <f t="shared" si="532"/>
        <v>119.15723894782585</v>
      </c>
      <c r="H952" s="18">
        <f t="shared" si="532"/>
        <v>116.09821305610033</v>
      </c>
      <c r="I952" s="18">
        <f t="shared" si="532"/>
        <v>108.08366452900312</v>
      </c>
      <c r="J952" s="18">
        <f t="shared" si="532"/>
        <v>95.983882609451399</v>
      </c>
      <c r="K952" s="64" t="s">
        <v>131</v>
      </c>
      <c r="L952" s="34" t="s">
        <v>131</v>
      </c>
    </row>
    <row r="953" spans="1:12" s="81" customFormat="1" ht="20.100000000000001" customHeight="1" thickBot="1" x14ac:dyDescent="0.3">
      <c r="A953" s="328"/>
      <c r="B953" s="265" t="s">
        <v>212</v>
      </c>
      <c r="C953" s="36">
        <f>SUM(C948:C951)</f>
        <v>9426.0914060128707</v>
      </c>
      <c r="D953" s="36">
        <f t="shared" ref="D953:J953" si="533">SUM(D948:D951)</f>
        <v>10134.841972017963</v>
      </c>
      <c r="E953" s="36">
        <f t="shared" si="533"/>
        <v>1651.5037572896629</v>
      </c>
      <c r="F953" s="36">
        <f t="shared" si="533"/>
        <v>970.29020599958869</v>
      </c>
      <c r="G953" s="36">
        <f t="shared" si="533"/>
        <v>2215.1083365524955</v>
      </c>
      <c r="H953" s="36">
        <f t="shared" si="533"/>
        <v>1009.5313208591479</v>
      </c>
      <c r="I953" s="36">
        <f t="shared" si="533"/>
        <v>5071.0760031080208</v>
      </c>
      <c r="J953" s="36">
        <f t="shared" si="533"/>
        <v>4980.2405743792551</v>
      </c>
      <c r="K953" s="64" t="s">
        <v>131</v>
      </c>
      <c r="L953" s="34" t="s">
        <v>131</v>
      </c>
    </row>
    <row r="954" spans="1:12" s="81" customFormat="1" ht="20.100000000000001" hidden="1" customHeight="1" thickBot="1" x14ac:dyDescent="0.3">
      <c r="A954" s="327" t="s">
        <v>1066</v>
      </c>
      <c r="B954" s="321" t="s">
        <v>183</v>
      </c>
      <c r="C954" s="9">
        <v>4098.6398594478314</v>
      </c>
      <c r="D954" s="9">
        <v>7484.5553402277046</v>
      </c>
      <c r="E954" s="9">
        <v>590.72902266045173</v>
      </c>
      <c r="F954" s="9">
        <v>411.31086109716756</v>
      </c>
      <c r="G954" s="9">
        <v>961.21624969523145</v>
      </c>
      <c r="H954" s="9">
        <v>477.41983241305132</v>
      </c>
      <c r="I954" s="9">
        <v>1526.7362323413413</v>
      </c>
      <c r="J954" s="9">
        <v>1836.3049757619219</v>
      </c>
      <c r="K954" s="9">
        <v>423.71411165292227</v>
      </c>
      <c r="L954" s="21" t="s">
        <v>131</v>
      </c>
    </row>
    <row r="955" spans="1:12" s="81" customFormat="1" ht="20.100000000000001" customHeight="1" x14ac:dyDescent="0.25">
      <c r="A955" s="327"/>
      <c r="B955" s="322"/>
      <c r="C955" s="10">
        <f>C954/14.06*19.53*1.039</f>
        <v>5915.2380851181924</v>
      </c>
      <c r="D955" s="10">
        <f t="shared" ref="D955:K955" si="534">D954/14.06*19.53*1.039</f>
        <v>10801.858254668443</v>
      </c>
      <c r="E955" s="10">
        <f t="shared" si="534"/>
        <v>852.55180563644433</v>
      </c>
      <c r="F955" s="10">
        <f t="shared" si="534"/>
        <v>593.61196733994041</v>
      </c>
      <c r="G955" s="10">
        <f t="shared" si="534"/>
        <v>1387.2462971161619</v>
      </c>
      <c r="H955" s="10">
        <f t="shared" si="534"/>
        <v>689.02174187631147</v>
      </c>
      <c r="I955" s="10">
        <f t="shared" si="534"/>
        <v>2203.4159177605848</v>
      </c>
      <c r="J955" s="10">
        <f t="shared" si="534"/>
        <v>2650.1916491834218</v>
      </c>
      <c r="K955" s="10">
        <f t="shared" si="534"/>
        <v>611.51258378408625</v>
      </c>
      <c r="L955" s="21" t="s">
        <v>131</v>
      </c>
    </row>
    <row r="956" spans="1:12" s="81" customFormat="1" ht="20.100000000000001" customHeight="1" x14ac:dyDescent="0.25">
      <c r="A956" s="327"/>
      <c r="B956" s="322"/>
      <c r="C956" s="16">
        <f>C955*0.0214</f>
        <v>126.58609502152932</v>
      </c>
      <c r="D956" s="16">
        <f t="shared" ref="D956:K956" si="535">D955*0.0214</f>
        <v>231.15976664990467</v>
      </c>
      <c r="E956" s="16">
        <f t="shared" si="535"/>
        <v>18.244608640619909</v>
      </c>
      <c r="F956" s="16">
        <f t="shared" si="535"/>
        <v>12.703296101074724</v>
      </c>
      <c r="G956" s="16">
        <f t="shared" si="535"/>
        <v>29.687070758285863</v>
      </c>
      <c r="H956" s="16">
        <f t="shared" si="535"/>
        <v>14.745065276153065</v>
      </c>
      <c r="I956" s="16">
        <f t="shared" si="535"/>
        <v>47.153100640076509</v>
      </c>
      <c r="J956" s="16">
        <f t="shared" si="535"/>
        <v>56.714101292525221</v>
      </c>
      <c r="K956" s="16">
        <f t="shared" si="535"/>
        <v>13.086369292979445</v>
      </c>
      <c r="L956" s="15" t="s">
        <v>131</v>
      </c>
    </row>
    <row r="957" spans="1:12" s="81" customFormat="1" ht="20.100000000000001" hidden="1" customHeight="1" x14ac:dyDescent="0.25">
      <c r="A957" s="327"/>
      <c r="B957" s="322"/>
      <c r="C957" s="16">
        <f>11620/1484.7</f>
        <v>7.8264969354078264</v>
      </c>
      <c r="D957" s="16">
        <f>8981/371</f>
        <v>24.20754716981132</v>
      </c>
      <c r="E957" s="16">
        <f>5494/1484.7</f>
        <v>3.7004108574122716</v>
      </c>
      <c r="F957" s="16">
        <f>10714/2/1484.7</f>
        <v>3.6081363238364652</v>
      </c>
      <c r="G957" s="16">
        <f>8058/1484.7</f>
        <v>5.4273590624368557</v>
      </c>
      <c r="H957" s="16">
        <f>F957</f>
        <v>3.6081363238364652</v>
      </c>
      <c r="I957" s="16">
        <f>11380/1484.7</f>
        <v>7.6648481174648078</v>
      </c>
      <c r="J957" s="16">
        <f>3228/1484.7</f>
        <v>2.1741766013336026</v>
      </c>
      <c r="K957" s="16">
        <f>J957</f>
        <v>2.1741766013336026</v>
      </c>
      <c r="L957" s="15" t="s">
        <v>131</v>
      </c>
    </row>
    <row r="958" spans="1:12" s="81" customFormat="1" ht="20.100000000000001" hidden="1" customHeight="1" thickBot="1" x14ac:dyDescent="0.3">
      <c r="A958" s="327"/>
      <c r="B958" s="322"/>
      <c r="C958" s="18">
        <f>(1/1394.5)*188649*1.2*P4</f>
        <v>201.07005087580907</v>
      </c>
      <c r="D958" s="18">
        <f>(1/571)*66027.66*1.2*P4</f>
        <v>171.87044326234675</v>
      </c>
      <c r="E958" s="18">
        <f>(1/1394.5)*125766*1.2*P4</f>
        <v>134.04670058387273</v>
      </c>
      <c r="F958" s="18">
        <f>(1/1394.5)*94324.5*1.2*P4</f>
        <v>100.53502543790454</v>
      </c>
      <c r="G958" s="19">
        <f>(1/1394.5)*94324.5*1.2*P4</f>
        <v>100.53502543790454</v>
      </c>
      <c r="H958" s="19">
        <f>(1/1394.5)*94324.5*1.2*P4</f>
        <v>100.53502543790454</v>
      </c>
      <c r="I958" s="19">
        <f>(1/1394.5)*124194.18*1.2*P4</f>
        <v>132.37138861631595</v>
      </c>
      <c r="J958" s="19">
        <f>(1/1394.5)*154063.86/2*1.2*P4</f>
        <v>82.103875897363693</v>
      </c>
      <c r="K958" s="18">
        <f>(1/1394.5)*66027.66*1.2*P4</f>
        <v>70.375061386016483</v>
      </c>
      <c r="L958" s="20" t="s">
        <v>131</v>
      </c>
    </row>
    <row r="959" spans="1:12" s="81" customFormat="1" ht="20.100000000000001" customHeight="1" thickBot="1" x14ac:dyDescent="0.3">
      <c r="A959" s="327"/>
      <c r="B959" s="323"/>
      <c r="C959" s="18">
        <f>C958+C957</f>
        <v>208.89654781121689</v>
      </c>
      <c r="D959" s="18">
        <f t="shared" ref="D959:K959" si="536">D958+D957</f>
        <v>196.07799043215806</v>
      </c>
      <c r="E959" s="18">
        <f t="shared" si="536"/>
        <v>137.747111441285</v>
      </c>
      <c r="F959" s="18">
        <f t="shared" si="536"/>
        <v>104.143161761741</v>
      </c>
      <c r="G959" s="18">
        <f t="shared" si="536"/>
        <v>105.96238450034139</v>
      </c>
      <c r="H959" s="18">
        <f t="shared" si="536"/>
        <v>104.143161761741</v>
      </c>
      <c r="I959" s="18">
        <f t="shared" si="536"/>
        <v>140.03623673378075</v>
      </c>
      <c r="J959" s="18">
        <f t="shared" si="536"/>
        <v>84.278052498697292</v>
      </c>
      <c r="K959" s="18">
        <f t="shared" si="536"/>
        <v>72.549237987350082</v>
      </c>
      <c r="L959" s="34" t="s">
        <v>131</v>
      </c>
    </row>
    <row r="960" spans="1:12" s="81" customFormat="1" ht="20.100000000000001" customHeight="1" thickBot="1" x14ac:dyDescent="0.3">
      <c r="A960" s="328"/>
      <c r="B960" s="265" t="s">
        <v>212</v>
      </c>
      <c r="C960" s="36">
        <f>SUM(C955:C958)</f>
        <v>6250.7207279509385</v>
      </c>
      <c r="D960" s="36">
        <f t="shared" ref="D960:K960" si="537">SUM(D955:D958)</f>
        <v>11229.096011750507</v>
      </c>
      <c r="E960" s="36">
        <f t="shared" si="537"/>
        <v>1008.5435257183493</v>
      </c>
      <c r="F960" s="36">
        <f t="shared" si="537"/>
        <v>710.45842520275608</v>
      </c>
      <c r="G960" s="36">
        <f t="shared" si="537"/>
        <v>1522.8957523747893</v>
      </c>
      <c r="H960" s="36">
        <f t="shared" si="537"/>
        <v>807.90996891420548</v>
      </c>
      <c r="I960" s="36">
        <f t="shared" si="537"/>
        <v>2390.6052551344419</v>
      </c>
      <c r="J960" s="36">
        <f t="shared" si="537"/>
        <v>2791.1838029746445</v>
      </c>
      <c r="K960" s="36">
        <f t="shared" si="537"/>
        <v>697.14819106441576</v>
      </c>
      <c r="L960" s="34" t="s">
        <v>131</v>
      </c>
    </row>
    <row r="961" spans="1:12" s="53" customFormat="1" ht="20.100000000000001" hidden="1" customHeight="1" thickBot="1" x14ac:dyDescent="0.3">
      <c r="A961" s="327" t="s">
        <v>1067</v>
      </c>
      <c r="B961" s="321" t="s">
        <v>184</v>
      </c>
      <c r="C961" s="9">
        <v>5963.8746483441446</v>
      </c>
      <c r="D961" s="9">
        <v>6656.0378539772728</v>
      </c>
      <c r="E961" s="9">
        <v>885.99881768521675</v>
      </c>
      <c r="F961" s="9">
        <v>731.53281529532262</v>
      </c>
      <c r="G961" s="9">
        <v>1052.8601604643225</v>
      </c>
      <c r="H961" s="9">
        <v>408.30547149197668</v>
      </c>
      <c r="I961" s="9">
        <v>3863.9303690679408</v>
      </c>
      <c r="J961" s="9">
        <v>2170.139328098327</v>
      </c>
      <c r="K961" s="9">
        <v>2062.4200180949128</v>
      </c>
      <c r="L961" s="21" t="s">
        <v>131</v>
      </c>
    </row>
    <row r="962" spans="1:12" s="53" customFormat="1" ht="20.100000000000001" customHeight="1" x14ac:dyDescent="0.25">
      <c r="A962" s="327"/>
      <c r="B962" s="322"/>
      <c r="C962" s="10">
        <f>C961/14.06*19.53*1.039</f>
        <v>8607.1818126291182</v>
      </c>
      <c r="D962" s="10">
        <f t="shared" ref="D962:K962" si="538">D961/14.06*19.53*1.039</f>
        <v>9606.125436729375</v>
      </c>
      <c r="E962" s="10">
        <f t="shared" si="538"/>
        <v>1278.6910120098564</v>
      </c>
      <c r="F962" s="10">
        <f t="shared" si="538"/>
        <v>1055.7626231965603</v>
      </c>
      <c r="G962" s="10">
        <f t="shared" si="538"/>
        <v>1519.5086011585404</v>
      </c>
      <c r="H962" s="10">
        <f t="shared" si="538"/>
        <v>589.27452963795145</v>
      </c>
      <c r="I962" s="10">
        <f t="shared" si="538"/>
        <v>5576.5007078310709</v>
      </c>
      <c r="J962" s="10">
        <f t="shared" si="538"/>
        <v>3131.9879871830003</v>
      </c>
      <c r="K962" s="10">
        <f t="shared" si="538"/>
        <v>2976.5253491163585</v>
      </c>
      <c r="L962" s="21" t="s">
        <v>131</v>
      </c>
    </row>
    <row r="963" spans="1:12" s="53" customFormat="1" ht="20.100000000000001" customHeight="1" x14ac:dyDescent="0.25">
      <c r="A963" s="327"/>
      <c r="B963" s="322"/>
      <c r="C963" s="16">
        <f>C962*0.0214</f>
        <v>184.19369079026313</v>
      </c>
      <c r="D963" s="16">
        <f t="shared" ref="D963:K963" si="539">D962*0.0214</f>
        <v>205.5710843460086</v>
      </c>
      <c r="E963" s="16">
        <f t="shared" si="539"/>
        <v>27.363987657010927</v>
      </c>
      <c r="F963" s="16">
        <f t="shared" si="539"/>
        <v>22.59332013640639</v>
      </c>
      <c r="G963" s="16">
        <f t="shared" si="539"/>
        <v>32.517484064792761</v>
      </c>
      <c r="H963" s="16">
        <f t="shared" si="539"/>
        <v>12.61047493425216</v>
      </c>
      <c r="I963" s="16">
        <f t="shared" si="539"/>
        <v>119.33711514758491</v>
      </c>
      <c r="J963" s="16">
        <f t="shared" si="539"/>
        <v>67.024542925716204</v>
      </c>
      <c r="K963" s="16">
        <f t="shared" si="539"/>
        <v>63.69764247109007</v>
      </c>
      <c r="L963" s="15" t="s">
        <v>131</v>
      </c>
    </row>
    <row r="964" spans="1:12" s="53" customFormat="1" ht="20.100000000000001" hidden="1" customHeight="1" x14ac:dyDescent="0.25">
      <c r="A964" s="327"/>
      <c r="B964" s="322"/>
      <c r="C964" s="16">
        <f>25725/4230.7</f>
        <v>6.0805540454298344</v>
      </c>
      <c r="D964" s="16">
        <f>19445/846</f>
        <v>22.984633569739952</v>
      </c>
      <c r="E964" s="16">
        <f>13067/4230.7</f>
        <v>3.0886141773229019</v>
      </c>
      <c r="F964" s="16">
        <f>60170/2/4230.7</f>
        <v>7.1111163637223154</v>
      </c>
      <c r="G964" s="16">
        <f>54483/4230.7</f>
        <v>12.878010731084691</v>
      </c>
      <c r="H964" s="16">
        <f>F964</f>
        <v>7.1111163637223154</v>
      </c>
      <c r="I964" s="16">
        <f>63962/4230.7</f>
        <v>15.118538303354056</v>
      </c>
      <c r="J964" s="16">
        <f>5750/4230.7</f>
        <v>1.3591131491242585</v>
      </c>
      <c r="K964" s="16">
        <f>J964</f>
        <v>1.3591131491242585</v>
      </c>
      <c r="L964" s="15" t="s">
        <v>131</v>
      </c>
    </row>
    <row r="965" spans="1:12" s="53" customFormat="1" ht="20.100000000000001" hidden="1" customHeight="1" thickBot="1" x14ac:dyDescent="0.3">
      <c r="A965" s="327"/>
      <c r="B965" s="322"/>
      <c r="C965" s="43">
        <f>(1/2050.3)*261543.3*1.2*P4</f>
        <v>189.59967406222961</v>
      </c>
      <c r="D965" s="27">
        <f>(1/846)*91539.9*1.2*P4</f>
        <v>160.82422588017914</v>
      </c>
      <c r="E965" s="27">
        <f>(1/2050.3)*174362.88*1.2*P4</f>
        <v>126.40027565818608</v>
      </c>
      <c r="F965" s="27">
        <f>(1/2050.3)*130772.16*1.2*P4</f>
        <v>94.800206743639563</v>
      </c>
      <c r="G965" s="27">
        <f>(1/2050.3)*130772.16*1.2*P4</f>
        <v>94.800206743639563</v>
      </c>
      <c r="H965" s="28">
        <f>(1/2050.3)*130772.16*1.2*P4</f>
        <v>94.800206743639563</v>
      </c>
      <c r="I965" s="28">
        <f>(1/2050.3)*172183.14*1.2*P4</f>
        <v>124.82012432744887</v>
      </c>
      <c r="J965" s="28">
        <f>(1/2050.3)*213594.12*1.2*P4</f>
        <v>154.84004191125814</v>
      </c>
      <c r="K965" s="28">
        <f>(1/2050.3)*91539.9*1.2*P4</f>
        <v>66.359701065517996</v>
      </c>
      <c r="L965" s="30" t="s">
        <v>131</v>
      </c>
    </row>
    <row r="966" spans="1:12" s="53" customFormat="1" ht="20.100000000000001" customHeight="1" thickBot="1" x14ac:dyDescent="0.3">
      <c r="A966" s="327"/>
      <c r="B966" s="323"/>
      <c r="C966" s="64">
        <f>C965+C964</f>
        <v>195.68022810765945</v>
      </c>
      <c r="D966" s="64">
        <f t="shared" ref="D966:K966" si="540">D965+D964</f>
        <v>183.80885944991908</v>
      </c>
      <c r="E966" s="64">
        <f t="shared" si="540"/>
        <v>129.48888983550899</v>
      </c>
      <c r="F966" s="64">
        <f t="shared" si="540"/>
        <v>101.91132310736188</v>
      </c>
      <c r="G966" s="64">
        <f t="shared" si="540"/>
        <v>107.67821747472425</v>
      </c>
      <c r="H966" s="64">
        <f t="shared" si="540"/>
        <v>101.91132310736188</v>
      </c>
      <c r="I966" s="64">
        <f t="shared" si="540"/>
        <v>139.93866263080292</v>
      </c>
      <c r="J966" s="64">
        <f t="shared" si="540"/>
        <v>156.1991550603824</v>
      </c>
      <c r="K966" s="64">
        <f t="shared" si="540"/>
        <v>67.718814214642251</v>
      </c>
      <c r="L966" s="41" t="s">
        <v>131</v>
      </c>
    </row>
    <row r="967" spans="1:12" s="53" customFormat="1" ht="20.100000000000001" customHeight="1" thickBot="1" x14ac:dyDescent="0.3">
      <c r="A967" s="328"/>
      <c r="B967" s="265" t="s">
        <v>212</v>
      </c>
      <c r="C967" s="36">
        <f>SUM(C962:C965)</f>
        <v>8987.0557315270416</v>
      </c>
      <c r="D967" s="36">
        <f t="shared" ref="D967:K967" si="541">SUM(D962:D965)</f>
        <v>9995.5053805253028</v>
      </c>
      <c r="E967" s="36">
        <f t="shared" si="541"/>
        <v>1435.5438895023763</v>
      </c>
      <c r="F967" s="36">
        <f t="shared" si="541"/>
        <v>1180.2672664403285</v>
      </c>
      <c r="G967" s="36">
        <f t="shared" si="541"/>
        <v>1659.7043026980575</v>
      </c>
      <c r="H967" s="36">
        <f t="shared" si="541"/>
        <v>703.79632767956548</v>
      </c>
      <c r="I967" s="36">
        <f t="shared" si="541"/>
        <v>5835.7764856094591</v>
      </c>
      <c r="J967" s="36">
        <f t="shared" si="541"/>
        <v>3355.2116851690989</v>
      </c>
      <c r="K967" s="36">
        <f t="shared" si="541"/>
        <v>3107.941805802091</v>
      </c>
      <c r="L967" s="41" t="s">
        <v>131</v>
      </c>
    </row>
    <row r="968" spans="1:12" s="53" customFormat="1" ht="21.95" customHeight="1" thickBot="1" x14ac:dyDescent="0.3">
      <c r="A968" s="311" t="s">
        <v>1068</v>
      </c>
      <c r="B968" s="312"/>
      <c r="C968" s="312"/>
      <c r="D968" s="312"/>
      <c r="E968" s="312"/>
      <c r="F968" s="312"/>
      <c r="G968" s="312"/>
      <c r="H968" s="312"/>
      <c r="I968" s="312"/>
      <c r="J968" s="312"/>
      <c r="K968" s="312"/>
      <c r="L968" s="313"/>
    </row>
    <row r="969" spans="1:12" s="73" customFormat="1" ht="20.100000000000001" hidden="1" customHeight="1" thickBot="1" x14ac:dyDescent="0.3">
      <c r="A969" s="327" t="s">
        <v>1069</v>
      </c>
      <c r="B969" s="321" t="s">
        <v>234</v>
      </c>
      <c r="C969" s="9">
        <v>4176.5699405756732</v>
      </c>
      <c r="D969" s="9">
        <v>5701.2165043750001</v>
      </c>
      <c r="E969" s="9">
        <v>637.92729526462381</v>
      </c>
      <c r="F969" s="9">
        <v>444.16207938718662</v>
      </c>
      <c r="G969" s="9">
        <v>1037.6471935933146</v>
      </c>
      <c r="H969" s="9">
        <v>515.28603435468904</v>
      </c>
      <c r="I969" s="9">
        <v>1648.1737298050139</v>
      </c>
      <c r="J969" s="9">
        <v>2011.8148303156916</v>
      </c>
      <c r="K969" s="9">
        <v>458.50026160631387</v>
      </c>
      <c r="L969" s="20" t="s">
        <v>131</v>
      </c>
    </row>
    <row r="970" spans="1:12" s="73" customFormat="1" ht="20.100000000000001" customHeight="1" x14ac:dyDescent="0.25">
      <c r="A970" s="327"/>
      <c r="B970" s="322"/>
      <c r="C970" s="7">
        <f>C969/14.06*19.53*1.039</f>
        <v>6027.7083190669391</v>
      </c>
      <c r="D970" s="7">
        <f t="shared" ref="D970:K970" si="542">D969/14.06*19.53*1.039</f>
        <v>8228.1083858699185</v>
      </c>
      <c r="E970" s="7">
        <f t="shared" si="542"/>
        <v>920.66928588209873</v>
      </c>
      <c r="F970" s="7">
        <f t="shared" si="542"/>
        <v>641.02349512365527</v>
      </c>
      <c r="G970" s="7">
        <f t="shared" si="542"/>
        <v>1497.5529465733753</v>
      </c>
      <c r="H970" s="7">
        <f t="shared" si="542"/>
        <v>743.67099322432523</v>
      </c>
      <c r="I970" s="7">
        <f t="shared" si="542"/>
        <v>2378.6769152114157</v>
      </c>
      <c r="J970" s="7">
        <f t="shared" si="542"/>
        <v>2903.4909415271695</v>
      </c>
      <c r="K970" s="7">
        <f t="shared" si="542"/>
        <v>661.71664320263085</v>
      </c>
      <c r="L970" s="8" t="s">
        <v>131</v>
      </c>
    </row>
    <row r="971" spans="1:12" s="73" customFormat="1" ht="20.100000000000001" customHeight="1" x14ac:dyDescent="0.25">
      <c r="A971" s="327"/>
      <c r="B971" s="322"/>
      <c r="C971" s="35">
        <f>C970*0.0214</f>
        <v>128.99295802803249</v>
      </c>
      <c r="D971" s="35">
        <f t="shared" ref="D971:K971" si="543">D970*0.0214</f>
        <v>176.08151945761625</v>
      </c>
      <c r="E971" s="35">
        <f t="shared" si="543"/>
        <v>19.70232271787691</v>
      </c>
      <c r="F971" s="35">
        <f t="shared" si="543"/>
        <v>13.717902795646221</v>
      </c>
      <c r="G971" s="35">
        <f t="shared" si="543"/>
        <v>32.047633056670229</v>
      </c>
      <c r="H971" s="35">
        <f t="shared" si="543"/>
        <v>15.91455925500056</v>
      </c>
      <c r="I971" s="35">
        <f t="shared" si="543"/>
        <v>50.903685985524291</v>
      </c>
      <c r="J971" s="35">
        <f t="shared" si="543"/>
        <v>62.134706148681424</v>
      </c>
      <c r="K971" s="35">
        <f t="shared" si="543"/>
        <v>14.160736164536299</v>
      </c>
      <c r="L971" s="15" t="s">
        <v>131</v>
      </c>
    </row>
    <row r="972" spans="1:12" s="73" customFormat="1" ht="20.100000000000001" hidden="1" customHeight="1" x14ac:dyDescent="0.25">
      <c r="A972" s="327"/>
      <c r="B972" s="322"/>
      <c r="C972" s="16">
        <f>14087/1712.4</f>
        <v>8.2264657790235916</v>
      </c>
      <c r="D972" s="16">
        <f>11041/450</f>
        <v>24.535555555555554</v>
      </c>
      <c r="E972" s="16">
        <f>7022/1712.4</f>
        <v>4.1006774118196683</v>
      </c>
      <c r="F972" s="16">
        <f>13043/2/1712.4</f>
        <v>3.8083975706610604</v>
      </c>
      <c r="G972" s="16">
        <f>9973/1712.4</f>
        <v>5.8239897220275632</v>
      </c>
      <c r="H972" s="16">
        <f>F972</f>
        <v>3.8083975706610604</v>
      </c>
      <c r="I972" s="16">
        <f>21484/1712.4</f>
        <v>12.546134080822236</v>
      </c>
      <c r="J972" s="16">
        <f>4408/1712.4</f>
        <v>2.5741649147395469</v>
      </c>
      <c r="K972" s="16">
        <f>J972</f>
        <v>2.5741649147395469</v>
      </c>
      <c r="L972" s="15" t="s">
        <v>131</v>
      </c>
    </row>
    <row r="973" spans="1:12" s="73" customFormat="1" ht="20.100000000000001" hidden="1" customHeight="1" thickBot="1" x14ac:dyDescent="0.3">
      <c r="A973" s="327"/>
      <c r="B973" s="322"/>
      <c r="C973" s="18">
        <f>(1/1292.4)*186995.58*1.2*P4</f>
        <v>215.05314140609875</v>
      </c>
      <c r="D973" s="18">
        <f>(1/1292.4)*158946.6*1.2*P4</f>
        <v>182.79558076088546</v>
      </c>
      <c r="E973" s="18">
        <f>(1/1292.4)*124663.38*1.2*P4</f>
        <v>143.36836992244534</v>
      </c>
      <c r="F973" s="18">
        <f>(1/1292.4)*93498.3*1.2*P4</f>
        <v>107.52715722548012</v>
      </c>
      <c r="G973" s="18">
        <f>(1/1292.4)*93498.3*1.2*P4</f>
        <v>107.52715722548012</v>
      </c>
      <c r="H973" s="18">
        <f>(1/1292.4)*93498.3*1.2*P4</f>
        <v>107.52715722548012</v>
      </c>
      <c r="I973" s="19">
        <f>(1/1292.4)*123105.84*1.2*P4</f>
        <v>141.57713041900013</v>
      </c>
      <c r="J973" s="19">
        <f>(1/1292.4)*152713.38*1.2*P4</f>
        <v>175.6271036125201</v>
      </c>
      <c r="K973" s="18">
        <f>(1/1292.4)*65448.3*1.2*P4</f>
        <v>75.268423535405347</v>
      </c>
      <c r="L973" s="34" t="s">
        <v>131</v>
      </c>
    </row>
    <row r="974" spans="1:12" s="73" customFormat="1" ht="20.100000000000001" customHeight="1" thickBot="1" x14ac:dyDescent="0.3">
      <c r="A974" s="327"/>
      <c r="B974" s="323"/>
      <c r="C974" s="18">
        <f>C973+C972</f>
        <v>223.27960718512233</v>
      </c>
      <c r="D974" s="18">
        <f t="shared" ref="D974:K974" si="544">D973+D972</f>
        <v>207.33113631644102</v>
      </c>
      <c r="E974" s="18">
        <f t="shared" si="544"/>
        <v>147.46904733426501</v>
      </c>
      <c r="F974" s="18">
        <f t="shared" si="544"/>
        <v>111.33555479614118</v>
      </c>
      <c r="G974" s="18">
        <f t="shared" si="544"/>
        <v>113.35114694750769</v>
      </c>
      <c r="H974" s="18">
        <f t="shared" si="544"/>
        <v>111.33555479614118</v>
      </c>
      <c r="I974" s="18">
        <f t="shared" si="544"/>
        <v>154.12326449982237</v>
      </c>
      <c r="J974" s="18">
        <f t="shared" si="544"/>
        <v>178.20126852725966</v>
      </c>
      <c r="K974" s="18">
        <f t="shared" si="544"/>
        <v>77.842588450144888</v>
      </c>
      <c r="L974" s="34" t="s">
        <v>131</v>
      </c>
    </row>
    <row r="975" spans="1:12" s="73" customFormat="1" ht="20.100000000000001" customHeight="1" thickBot="1" x14ac:dyDescent="0.3">
      <c r="A975" s="328"/>
      <c r="B975" s="259" t="s">
        <v>212</v>
      </c>
      <c r="C975" s="36">
        <f>SUM(C970:C973)</f>
        <v>6379.980884280094</v>
      </c>
      <c r="D975" s="36">
        <f t="shared" ref="D975:K975" si="545">SUM(D970:D973)</f>
        <v>8611.5210416439768</v>
      </c>
      <c r="E975" s="36">
        <f t="shared" si="545"/>
        <v>1087.8406559342407</v>
      </c>
      <c r="F975" s="36">
        <f t="shared" si="545"/>
        <v>766.07695271544264</v>
      </c>
      <c r="G975" s="36">
        <f t="shared" si="545"/>
        <v>1642.9517265775532</v>
      </c>
      <c r="H975" s="36">
        <f t="shared" si="545"/>
        <v>870.92110727546697</v>
      </c>
      <c r="I975" s="36">
        <f t="shared" si="545"/>
        <v>2583.7038656967625</v>
      </c>
      <c r="J975" s="36">
        <f t="shared" si="545"/>
        <v>3143.8269162031102</v>
      </c>
      <c r="K975" s="36">
        <f t="shared" si="545"/>
        <v>753.71996781731195</v>
      </c>
      <c r="L975" s="37" t="s">
        <v>131</v>
      </c>
    </row>
    <row r="976" spans="1:12" s="81" customFormat="1" ht="20.100000000000001" hidden="1" customHeight="1" x14ac:dyDescent="0.25">
      <c r="A976" s="327" t="s">
        <v>1070</v>
      </c>
      <c r="B976" s="321" t="s">
        <v>97</v>
      </c>
      <c r="C976" s="23">
        <v>3688.1210096664945</v>
      </c>
      <c r="D976" s="23">
        <v>7585.5853646511632</v>
      </c>
      <c r="E976" s="23">
        <v>609.18131311875175</v>
      </c>
      <c r="F976" s="23">
        <v>348.92632868990273</v>
      </c>
      <c r="G976" s="23">
        <v>799.24737535919553</v>
      </c>
      <c r="H976" s="23">
        <v>267.916466243147</v>
      </c>
      <c r="I976" s="23">
        <v>1808.7547828663794</v>
      </c>
      <c r="J976" s="23">
        <v>2411.1008516522984</v>
      </c>
      <c r="K976" s="23">
        <v>541.08032545747528</v>
      </c>
      <c r="L976" s="21" t="s">
        <v>131</v>
      </c>
    </row>
    <row r="977" spans="1:12" s="81" customFormat="1" ht="20.100000000000001" customHeight="1" x14ac:dyDescent="0.25">
      <c r="A977" s="327"/>
      <c r="B977" s="322"/>
      <c r="C977" s="16">
        <f>C976/13.19*19.53*1.039</f>
        <v>5673.8540142698494</v>
      </c>
      <c r="D977" s="16">
        <f t="shared" ref="D977:K977" si="546">D976/13.19*19.53*1.039</f>
        <v>11669.764592595227</v>
      </c>
      <c r="E977" s="16">
        <f t="shared" si="546"/>
        <v>937.17256830723136</v>
      </c>
      <c r="F977" s="16">
        <f t="shared" si="546"/>
        <v>536.79286702706884</v>
      </c>
      <c r="G977" s="16">
        <f t="shared" si="546"/>
        <v>1229.5727057736867</v>
      </c>
      <c r="H977" s="16">
        <f t="shared" si="546"/>
        <v>412.16622597210602</v>
      </c>
      <c r="I977" s="16">
        <f t="shared" si="546"/>
        <v>2782.6122187146493</v>
      </c>
      <c r="J977" s="16">
        <f t="shared" si="546"/>
        <v>3709.2693569709927</v>
      </c>
      <c r="K977" s="16">
        <f t="shared" si="546"/>
        <v>832.40511051369879</v>
      </c>
      <c r="L977" s="15" t="s">
        <v>131</v>
      </c>
    </row>
    <row r="978" spans="1:12" s="81" customFormat="1" ht="20.100000000000001" customHeight="1" x14ac:dyDescent="0.25">
      <c r="A978" s="327"/>
      <c r="B978" s="322"/>
      <c r="C978" s="35">
        <f>C977*0.0214</f>
        <v>121.42047590537477</v>
      </c>
      <c r="D978" s="35">
        <f t="shared" ref="D978:K978" si="547">D977*0.0214</f>
        <v>249.73296228153785</v>
      </c>
      <c r="E978" s="35">
        <f t="shared" si="547"/>
        <v>20.05549296177475</v>
      </c>
      <c r="F978" s="35">
        <f t="shared" si="547"/>
        <v>11.487367354379273</v>
      </c>
      <c r="G978" s="35">
        <f t="shared" si="547"/>
        <v>26.312855903556894</v>
      </c>
      <c r="H978" s="35">
        <f t="shared" si="547"/>
        <v>8.8203572358030691</v>
      </c>
      <c r="I978" s="35">
        <f t="shared" si="547"/>
        <v>59.547901480493493</v>
      </c>
      <c r="J978" s="35">
        <f t="shared" si="547"/>
        <v>79.378364239179234</v>
      </c>
      <c r="K978" s="35">
        <f t="shared" si="547"/>
        <v>17.813469364993153</v>
      </c>
      <c r="L978" s="62" t="s">
        <v>131</v>
      </c>
    </row>
    <row r="979" spans="1:12" s="81" customFormat="1" ht="20.100000000000001" hidden="1" customHeight="1" x14ac:dyDescent="0.25">
      <c r="A979" s="327"/>
      <c r="B979" s="322"/>
      <c r="C979" s="16">
        <f>14466/1670.4</f>
        <v>8.6602011494252871</v>
      </c>
      <c r="D979" s="16">
        <f>11170/557</f>
        <v>20.053859964093359</v>
      </c>
      <c r="E979" s="16">
        <f>6306/1670.4</f>
        <v>3.7751436781609193</v>
      </c>
      <c r="F979" s="16">
        <f>12179/2/1670.4</f>
        <v>3.6455340038314175</v>
      </c>
      <c r="G979" s="16">
        <f>9185/1670.4</f>
        <v>5.4986829501915704</v>
      </c>
      <c r="H979" s="16">
        <f>F979</f>
        <v>3.6455340038314175</v>
      </c>
      <c r="I979" s="16">
        <f>20413/1670.4</f>
        <v>12.220426245210728</v>
      </c>
      <c r="J979" s="16">
        <f>3983/1670.4</f>
        <v>2.3844588122605361</v>
      </c>
      <c r="K979" s="16">
        <f>J979</f>
        <v>2.3844588122605361</v>
      </c>
      <c r="L979" s="15" t="s">
        <v>131</v>
      </c>
    </row>
    <row r="980" spans="1:12" s="81" customFormat="1" ht="20.100000000000001" hidden="1" customHeight="1" thickBot="1" x14ac:dyDescent="0.3">
      <c r="A980" s="327"/>
      <c r="B980" s="322"/>
      <c r="C980" s="18">
        <f>(1/1670.4)*139143.3*1.2*P4</f>
        <v>123.80928535446911</v>
      </c>
      <c r="D980" s="18">
        <f>(1/557)*48699.9*1.2*P4</f>
        <v>129.95239062628744</v>
      </c>
      <c r="E980" s="18">
        <f>(1/1670.4)*92762.88*1.2*P4</f>
        <v>82.540128631578938</v>
      </c>
      <c r="F980" s="18">
        <f>(1/1670.4)*69572.16*1.2*P4</f>
        <v>61.905096473684203</v>
      </c>
      <c r="G980" s="19">
        <f>(1/1670.4)*69572.16*1.2*P4</f>
        <v>61.905096473684203</v>
      </c>
      <c r="H980" s="19">
        <f>(1/1670.4)*69572.16*1.2*P4</f>
        <v>61.905096473684203</v>
      </c>
      <c r="I980" s="19">
        <f>(1/1670.4)*91603.14*1.2*P4</f>
        <v>81.508195505104325</v>
      </c>
      <c r="J980" s="19">
        <f>(1/1670.4)*113634.12*1.2*P4</f>
        <v>101.11129453652448</v>
      </c>
      <c r="K980" s="18">
        <f>(1/1670.4)*48699.9*1.2*P4</f>
        <v>43.333022975839377</v>
      </c>
      <c r="L980" s="34" t="s">
        <v>131</v>
      </c>
    </row>
    <row r="981" spans="1:12" s="81" customFormat="1" ht="20.100000000000001" customHeight="1" thickBot="1" x14ac:dyDescent="0.3">
      <c r="A981" s="327"/>
      <c r="B981" s="323"/>
      <c r="C981" s="18">
        <f>C980+C979</f>
        <v>132.46948650389439</v>
      </c>
      <c r="D981" s="18">
        <f t="shared" ref="D981:K981" si="548">D980+D979</f>
        <v>150.0062505903808</v>
      </c>
      <c r="E981" s="18">
        <f t="shared" si="548"/>
        <v>86.315272309739854</v>
      </c>
      <c r="F981" s="18">
        <f t="shared" si="548"/>
        <v>65.550630477515625</v>
      </c>
      <c r="G981" s="18">
        <f t="shared" si="548"/>
        <v>67.403779423875775</v>
      </c>
      <c r="H981" s="18">
        <f t="shared" si="548"/>
        <v>65.550630477515625</v>
      </c>
      <c r="I981" s="18">
        <f t="shared" si="548"/>
        <v>93.728621750315057</v>
      </c>
      <c r="J981" s="18">
        <f t="shared" si="548"/>
        <v>103.49575334878502</v>
      </c>
      <c r="K981" s="18">
        <f t="shared" si="548"/>
        <v>45.71748178809991</v>
      </c>
      <c r="L981" s="34" t="s">
        <v>131</v>
      </c>
    </row>
    <row r="982" spans="1:12" s="81" customFormat="1" ht="20.100000000000001" customHeight="1" thickBot="1" x14ac:dyDescent="0.3">
      <c r="A982" s="328"/>
      <c r="B982" s="265" t="s">
        <v>212</v>
      </c>
      <c r="C982" s="36">
        <f>SUM(C977:C980)</f>
        <v>5927.7439766791185</v>
      </c>
      <c r="D982" s="36">
        <f t="shared" ref="D982:K982" si="549">SUM(D977:D980)</f>
        <v>12069.503805467146</v>
      </c>
      <c r="E982" s="36">
        <f t="shared" si="549"/>
        <v>1043.5433335787461</v>
      </c>
      <c r="F982" s="36">
        <f t="shared" si="549"/>
        <v>613.83086485896376</v>
      </c>
      <c r="G982" s="36">
        <f t="shared" si="549"/>
        <v>1323.2893411011194</v>
      </c>
      <c r="H982" s="36">
        <f t="shared" si="549"/>
        <v>486.53721368542466</v>
      </c>
      <c r="I982" s="36">
        <f t="shared" si="549"/>
        <v>2935.8887419454577</v>
      </c>
      <c r="J982" s="36">
        <f t="shared" si="549"/>
        <v>3892.1434745589568</v>
      </c>
      <c r="K982" s="36">
        <f t="shared" si="549"/>
        <v>895.93606166679183</v>
      </c>
      <c r="L982" s="37" t="s">
        <v>131</v>
      </c>
    </row>
    <row r="983" spans="1:12" s="81" customFormat="1" ht="20.100000000000001" hidden="1" customHeight="1" x14ac:dyDescent="0.25">
      <c r="A983" s="327" t="s">
        <v>1071</v>
      </c>
      <c r="B983" s="321" t="s">
        <v>98</v>
      </c>
      <c r="C983" s="23">
        <v>3258.4219107043914</v>
      </c>
      <c r="D983" s="23">
        <v>7314.607794764398</v>
      </c>
      <c r="E983" s="23">
        <v>495.99680552971819</v>
      </c>
      <c r="F983" s="23">
        <v>345.35283926147451</v>
      </c>
      <c r="G983" s="23">
        <v>806.80355054759889</v>
      </c>
      <c r="H983" s="23">
        <v>402.60071184045626</v>
      </c>
      <c r="I983" s="23">
        <v>1281.6042131423756</v>
      </c>
      <c r="J983" s="23">
        <v>1560.0769314571689</v>
      </c>
      <c r="K983" s="23">
        <v>356.33986954791658</v>
      </c>
      <c r="L983" s="21" t="s">
        <v>131</v>
      </c>
    </row>
    <row r="984" spans="1:12" s="81" customFormat="1" ht="20.100000000000001" customHeight="1" x14ac:dyDescent="0.25">
      <c r="A984" s="327"/>
      <c r="B984" s="322"/>
      <c r="C984" s="16">
        <f>C983/13.19*19.53*1.039</f>
        <v>5012.7992519168292</v>
      </c>
      <c r="D984" s="16">
        <f t="shared" ref="D984:K984" si="550">D983/13.19*19.53*1.039</f>
        <v>11252.889124396277</v>
      </c>
      <c r="E984" s="16">
        <f t="shared" si="550"/>
        <v>763.04802872351922</v>
      </c>
      <c r="F984" s="16">
        <f t="shared" si="550"/>
        <v>531.29536374957422</v>
      </c>
      <c r="G984" s="16">
        <f t="shared" si="550"/>
        <v>1241.1972253631689</v>
      </c>
      <c r="H984" s="16">
        <f t="shared" si="550"/>
        <v>619.36624612825096</v>
      </c>
      <c r="I984" s="16">
        <f t="shared" si="550"/>
        <v>1971.6368281800414</v>
      </c>
      <c r="J984" s="16">
        <f t="shared" si="550"/>
        <v>2400.0429315952611</v>
      </c>
      <c r="K984" s="16">
        <f t="shared" si="550"/>
        <v>548.19795608107449</v>
      </c>
      <c r="L984" s="15" t="s">
        <v>131</v>
      </c>
    </row>
    <row r="985" spans="1:12" s="81" customFormat="1" ht="20.100000000000001" customHeight="1" x14ac:dyDescent="0.25">
      <c r="A985" s="327"/>
      <c r="B985" s="322"/>
      <c r="C985" s="35">
        <f>C984*0.0214</f>
        <v>107.27390399102013</v>
      </c>
      <c r="D985" s="35">
        <f t="shared" ref="D985:K985" si="551">D984*0.0214</f>
        <v>240.81182726208033</v>
      </c>
      <c r="E985" s="35">
        <f t="shared" si="551"/>
        <v>16.329227814683311</v>
      </c>
      <c r="F985" s="35">
        <f t="shared" si="551"/>
        <v>11.369720784240888</v>
      </c>
      <c r="G985" s="35">
        <f t="shared" si="551"/>
        <v>26.561620622771812</v>
      </c>
      <c r="H985" s="35">
        <f t="shared" si="551"/>
        <v>13.25443766714457</v>
      </c>
      <c r="I985" s="35">
        <f t="shared" si="551"/>
        <v>42.193028123052883</v>
      </c>
      <c r="J985" s="35">
        <f t="shared" si="551"/>
        <v>51.360918736138586</v>
      </c>
      <c r="K985" s="35">
        <f t="shared" si="551"/>
        <v>11.731436260134993</v>
      </c>
      <c r="L985" s="62" t="s">
        <v>131</v>
      </c>
    </row>
    <row r="986" spans="1:12" s="81" customFormat="1" ht="20.100000000000001" hidden="1" customHeight="1" x14ac:dyDescent="0.25">
      <c r="A986" s="327"/>
      <c r="B986" s="322"/>
      <c r="C986" s="16">
        <f>13146/1661.8</f>
        <v>7.9106992417860154</v>
      </c>
      <c r="D986" s="16">
        <f>10191/416</f>
        <v>24.497596153846153</v>
      </c>
      <c r="E986" s="16">
        <f>6283/1661.8</f>
        <v>3.7808400529546278</v>
      </c>
      <c r="F986" s="16">
        <f>12132/2/1661.8</f>
        <v>3.6502587555662536</v>
      </c>
      <c r="G986" s="16">
        <f>9151/1661.8</f>
        <v>5.5066795041521246</v>
      </c>
      <c r="H986" s="16">
        <f>F986</f>
        <v>3.6502587555662536</v>
      </c>
      <c r="I986" s="16">
        <f>20328/1661.8</f>
        <v>12.232518955349621</v>
      </c>
      <c r="J986" s="16">
        <f>3747/1661.8</f>
        <v>2.2547839691900351</v>
      </c>
      <c r="K986" s="16">
        <f>J986</f>
        <v>2.2547839691900351</v>
      </c>
      <c r="L986" s="15" t="s">
        <v>131</v>
      </c>
    </row>
    <row r="987" spans="1:12" s="81" customFormat="1" ht="20.100000000000001" hidden="1" customHeight="1" thickBot="1" x14ac:dyDescent="0.3">
      <c r="A987" s="327"/>
      <c r="B987" s="322"/>
      <c r="C987" s="18">
        <f>(1/1661.8)*192976.86*1.2*P4</f>
        <v>172.59884291406269</v>
      </c>
      <c r="D987" s="18">
        <f>(1/716)*67542.36*1.2*P4</f>
        <v>140.20858550773301</v>
      </c>
      <c r="E987" s="18">
        <f>(1/1661.8)*128651.58*1.2*P4</f>
        <v>115.06619937263969</v>
      </c>
      <c r="F987" s="18">
        <f>(1/1661.8)*96488.94*1.2*P4</f>
        <v>86.299877601928131</v>
      </c>
      <c r="G987" s="19">
        <f>(1/1661.8)*96488.94*1.2*P4</f>
        <v>86.299877601928131</v>
      </c>
      <c r="H987" s="19">
        <f>(1/1661.8)*96488.94*1.2*P4</f>
        <v>86.299877601928131</v>
      </c>
      <c r="I987" s="19">
        <f>(1/1661.8)*127043.04*1.2*P4</f>
        <v>113.62751836818666</v>
      </c>
      <c r="J987" s="19">
        <f>(1/1661.8)*157598.16*1.2*P4</f>
        <v>140.95607142423876</v>
      </c>
      <c r="K987" s="18">
        <f>(1/1661.8)*67542.36*1.2*P4</f>
        <v>60.41000555032906</v>
      </c>
      <c r="L987" s="20" t="s">
        <v>131</v>
      </c>
    </row>
    <row r="988" spans="1:12" s="81" customFormat="1" ht="20.100000000000001" customHeight="1" thickBot="1" x14ac:dyDescent="0.3">
      <c r="A988" s="327"/>
      <c r="B988" s="323"/>
      <c r="C988" s="18">
        <f>C987+C986</f>
        <v>180.50954215584869</v>
      </c>
      <c r="D988" s="18">
        <f t="shared" ref="D988:K988" si="552">D987+D986</f>
        <v>164.70618166157917</v>
      </c>
      <c r="E988" s="18">
        <f t="shared" si="552"/>
        <v>118.84703942559432</v>
      </c>
      <c r="F988" s="18">
        <f t="shared" si="552"/>
        <v>89.950136357494387</v>
      </c>
      <c r="G988" s="18">
        <f t="shared" si="552"/>
        <v>91.806557106080248</v>
      </c>
      <c r="H988" s="18">
        <f t="shared" si="552"/>
        <v>89.950136357494387</v>
      </c>
      <c r="I988" s="18">
        <f t="shared" si="552"/>
        <v>125.86003732353628</v>
      </c>
      <c r="J988" s="18">
        <f t="shared" si="552"/>
        <v>143.2108553934288</v>
      </c>
      <c r="K988" s="18">
        <f t="shared" si="552"/>
        <v>62.664789519519097</v>
      </c>
      <c r="L988" s="34" t="s">
        <v>131</v>
      </c>
    </row>
    <row r="989" spans="1:12" s="81" customFormat="1" ht="20.100000000000001" customHeight="1" thickBot="1" x14ac:dyDescent="0.3">
      <c r="A989" s="328"/>
      <c r="B989" s="265" t="s">
        <v>212</v>
      </c>
      <c r="C989" s="36">
        <f>SUM(C984:C987)</f>
        <v>5300.5826980636984</v>
      </c>
      <c r="D989" s="36">
        <f t="shared" ref="D989:K989" si="553">SUM(D984:D987)</f>
        <v>11658.407133319935</v>
      </c>
      <c r="E989" s="36">
        <f t="shared" si="553"/>
        <v>898.22429596379698</v>
      </c>
      <c r="F989" s="36">
        <f t="shared" si="553"/>
        <v>632.61522089130949</v>
      </c>
      <c r="G989" s="36">
        <f t="shared" si="553"/>
        <v>1359.5654030920209</v>
      </c>
      <c r="H989" s="36">
        <f t="shared" si="553"/>
        <v>722.57082015288984</v>
      </c>
      <c r="I989" s="36">
        <f t="shared" si="553"/>
        <v>2139.6898936266307</v>
      </c>
      <c r="J989" s="36">
        <f t="shared" si="553"/>
        <v>2594.6147057248286</v>
      </c>
      <c r="K989" s="36">
        <f t="shared" si="553"/>
        <v>622.59418186072855</v>
      </c>
      <c r="L989" s="34" t="s">
        <v>131</v>
      </c>
    </row>
    <row r="990" spans="1:12" s="81" customFormat="1" ht="20.100000000000001" hidden="1" customHeight="1" thickBot="1" x14ac:dyDescent="0.3">
      <c r="A990" s="327" t="s">
        <v>1072</v>
      </c>
      <c r="B990" s="321" t="s">
        <v>99</v>
      </c>
      <c r="C990" s="9">
        <v>4071.8560807467716</v>
      </c>
      <c r="D990" s="9">
        <v>4372.6269564444447</v>
      </c>
      <c r="E990" s="9">
        <v>499.14753188434014</v>
      </c>
      <c r="F990" s="9">
        <v>341.6333791260451</v>
      </c>
      <c r="G990" s="9">
        <v>600.96148081511888</v>
      </c>
      <c r="H990" s="9">
        <v>367.02074863958325</v>
      </c>
      <c r="I990" s="9">
        <v>1966.5605340269165</v>
      </c>
      <c r="J990" s="9">
        <v>1519.0490987601559</v>
      </c>
      <c r="K990" s="9">
        <v>350.74966281498627</v>
      </c>
      <c r="L990" s="20" t="s">
        <v>131</v>
      </c>
    </row>
    <row r="991" spans="1:12" s="81" customFormat="1" ht="20.100000000000001" customHeight="1" x14ac:dyDescent="0.25">
      <c r="A991" s="327"/>
      <c r="B991" s="322"/>
      <c r="C991" s="7">
        <f>C990/13.19*19.53*1.039</f>
        <v>6264.1971097806554</v>
      </c>
      <c r="D991" s="7">
        <f t="shared" ref="D991:K991" si="554">D990/13.19*19.53*1.039</f>
        <v>6726.9069926667962</v>
      </c>
      <c r="E991" s="7">
        <f t="shared" si="554"/>
        <v>767.89514771125914</v>
      </c>
      <c r="F991" s="7">
        <f t="shared" si="554"/>
        <v>525.57329721081089</v>
      </c>
      <c r="G991" s="7">
        <f t="shared" si="554"/>
        <v>924.52706985684017</v>
      </c>
      <c r="H991" s="7">
        <f t="shared" si="554"/>
        <v>564.6295613758432</v>
      </c>
      <c r="I991" s="7">
        <f t="shared" si="554"/>
        <v>3025.3826680438183</v>
      </c>
      <c r="J991" s="7">
        <f t="shared" si="554"/>
        <v>2336.9251725427212</v>
      </c>
      <c r="K991" s="7">
        <f t="shared" si="554"/>
        <v>539.59790829817837</v>
      </c>
      <c r="L991" s="8" t="s">
        <v>131</v>
      </c>
    </row>
    <row r="992" spans="1:12" s="81" customFormat="1" ht="20.100000000000001" customHeight="1" x14ac:dyDescent="0.25">
      <c r="A992" s="327"/>
      <c r="B992" s="322"/>
      <c r="C992" s="35">
        <f>C991*0.0214</f>
        <v>134.05381814930601</v>
      </c>
      <c r="D992" s="35">
        <f t="shared" ref="D992:K992" si="555">D991*0.0214</f>
        <v>143.95580964306944</v>
      </c>
      <c r="E992" s="35">
        <f t="shared" si="555"/>
        <v>16.432956161020943</v>
      </c>
      <c r="F992" s="35">
        <f t="shared" si="555"/>
        <v>11.247268560311353</v>
      </c>
      <c r="G992" s="35">
        <f t="shared" si="555"/>
        <v>19.784879294936378</v>
      </c>
      <c r="H992" s="35">
        <f t="shared" si="555"/>
        <v>12.083072613443044</v>
      </c>
      <c r="I992" s="35">
        <f t="shared" si="555"/>
        <v>64.743189096137712</v>
      </c>
      <c r="J992" s="35">
        <f t="shared" si="555"/>
        <v>50.010198692414228</v>
      </c>
      <c r="K992" s="35">
        <f t="shared" si="555"/>
        <v>11.547395237581016</v>
      </c>
      <c r="L992" s="62" t="s">
        <v>131</v>
      </c>
    </row>
    <row r="993" spans="1:12" s="81" customFormat="1" ht="20.100000000000001" hidden="1" customHeight="1" x14ac:dyDescent="0.25">
      <c r="A993" s="327"/>
      <c r="B993" s="322"/>
      <c r="C993" s="16">
        <f>26396/4190.8</f>
        <v>6.2985587477331295</v>
      </c>
      <c r="D993" s="16">
        <f>20175/840</f>
        <v>24.017857142857142</v>
      </c>
      <c r="E993" s="16">
        <f>13857/4190.8</f>
        <v>3.3065285864274121</v>
      </c>
      <c r="F993" s="16">
        <f>60516/2/4190.8</f>
        <v>7.2201011740001908</v>
      </c>
      <c r="G993" s="16">
        <f>54882/4190.8</f>
        <v>13.095828958671374</v>
      </c>
      <c r="H993" s="16">
        <f>F993</f>
        <v>7.2201011740001908</v>
      </c>
      <c r="I993" s="16">
        <f>64272/4190.8</f>
        <v>15.336451274219719</v>
      </c>
      <c r="J993" s="16">
        <f>6609/4190.8</f>
        <v>1.5770258661830676</v>
      </c>
      <c r="K993" s="16">
        <f>J993</f>
        <v>1.5770258661830676</v>
      </c>
      <c r="L993" s="15" t="s">
        <v>131</v>
      </c>
    </row>
    <row r="994" spans="1:12" s="81" customFormat="1" ht="20.100000000000001" hidden="1" customHeight="1" thickBot="1" x14ac:dyDescent="0.3">
      <c r="A994" s="327"/>
      <c r="B994" s="322"/>
      <c r="C994" s="67">
        <f>(1/4190.8)*296201.88*1.2*P4</f>
        <v>105.05150398664742</v>
      </c>
      <c r="D994" s="67">
        <f>(1/840)*103670.76*1.2*P4</f>
        <v>183.43761502601501</v>
      </c>
      <c r="E994" s="67">
        <f>(1/4190.8)*197467.92*1.2*P4</f>
        <v>70.034335991098288</v>
      </c>
      <c r="F994" s="67">
        <f>(1/4190.8)*148100.94*1.2*P4</f>
        <v>52.525751993323709</v>
      </c>
      <c r="G994" s="68">
        <f>(1/4190.8)*148100.94*1.2*P4</f>
        <v>52.525751993323709</v>
      </c>
      <c r="H994" s="68">
        <f>(1/4190.8)*148100.94*1.2*P4</f>
        <v>52.525751993323709</v>
      </c>
      <c r="I994" s="68">
        <f>(1/4190.8)*194999.52*1.2*P4</f>
        <v>69.158888703455673</v>
      </c>
      <c r="J994" s="68">
        <f>(1/4190.8)*241898.1*1.2*P4</f>
        <v>85.792025413587652</v>
      </c>
      <c r="K994" s="67">
        <f>(1/4190.8)*103670.76*1.2*P4</f>
        <v>36.768062570834353</v>
      </c>
      <c r="L994" s="34" t="s">
        <v>131</v>
      </c>
    </row>
    <row r="995" spans="1:12" s="81" customFormat="1" ht="20.100000000000001" customHeight="1" thickBot="1" x14ac:dyDescent="0.3">
      <c r="A995" s="327"/>
      <c r="B995" s="323"/>
      <c r="C995" s="18">
        <f>C994+C993</f>
        <v>111.35006273438054</v>
      </c>
      <c r="D995" s="18">
        <f t="shared" ref="D995:K995" si="556">D994+D993</f>
        <v>207.45547216887215</v>
      </c>
      <c r="E995" s="18">
        <f t="shared" si="556"/>
        <v>73.340864577525707</v>
      </c>
      <c r="F995" s="18">
        <f t="shared" si="556"/>
        <v>59.745853167323901</v>
      </c>
      <c r="G995" s="18">
        <f t="shared" si="556"/>
        <v>65.621580951995085</v>
      </c>
      <c r="H995" s="18">
        <f t="shared" si="556"/>
        <v>59.745853167323901</v>
      </c>
      <c r="I995" s="18">
        <f t="shared" si="556"/>
        <v>84.4953399776754</v>
      </c>
      <c r="J995" s="18">
        <f t="shared" si="556"/>
        <v>87.369051279770716</v>
      </c>
      <c r="K995" s="18">
        <f t="shared" si="556"/>
        <v>38.345088437017424</v>
      </c>
      <c r="L995" s="34" t="s">
        <v>131</v>
      </c>
    </row>
    <row r="996" spans="1:12" s="81" customFormat="1" ht="20.100000000000001" customHeight="1" thickBot="1" x14ac:dyDescent="0.3">
      <c r="A996" s="328"/>
      <c r="B996" s="259" t="s">
        <v>212</v>
      </c>
      <c r="C996" s="36">
        <f>SUM(C991:C994)</f>
        <v>6509.6009906643421</v>
      </c>
      <c r="D996" s="36">
        <f t="shared" ref="D996:K996" si="557">SUM(D991:D994)</f>
        <v>7078.3182744787373</v>
      </c>
      <c r="E996" s="36">
        <f t="shared" si="557"/>
        <v>857.66896844980567</v>
      </c>
      <c r="F996" s="36">
        <f t="shared" si="557"/>
        <v>596.56641893844619</v>
      </c>
      <c r="G996" s="36">
        <f t="shared" si="557"/>
        <v>1009.9335301037717</v>
      </c>
      <c r="H996" s="36">
        <f t="shared" si="557"/>
        <v>636.4584871566102</v>
      </c>
      <c r="I996" s="36">
        <f t="shared" si="557"/>
        <v>3174.6211971176313</v>
      </c>
      <c r="J996" s="36">
        <f t="shared" si="557"/>
        <v>2474.304422514906</v>
      </c>
      <c r="K996" s="36">
        <f t="shared" si="557"/>
        <v>589.49039197277671</v>
      </c>
      <c r="L996" s="37" t="s">
        <v>131</v>
      </c>
    </row>
    <row r="997" spans="1:12" s="73" customFormat="1" ht="20.100000000000001" hidden="1" customHeight="1" thickBot="1" x14ac:dyDescent="0.3">
      <c r="A997" s="327" t="s">
        <v>1073</v>
      </c>
      <c r="B997" s="321" t="s">
        <v>185</v>
      </c>
      <c r="C997" s="9">
        <v>5006.3763496042211</v>
      </c>
      <c r="D997" s="9">
        <v>6339.3450000000003</v>
      </c>
      <c r="E997" s="9">
        <v>823.66889226033413</v>
      </c>
      <c r="F997" s="9">
        <v>470.30557695690408</v>
      </c>
      <c r="G997" s="9">
        <v>1152.8671486367632</v>
      </c>
      <c r="H997" s="9">
        <v>482.40761653474055</v>
      </c>
      <c r="I997" s="9">
        <v>2729.1337915567283</v>
      </c>
      <c r="J997" s="9">
        <v>2560.9396416007035</v>
      </c>
      <c r="K997" s="9" t="s">
        <v>131</v>
      </c>
      <c r="L997" s="20" t="s">
        <v>131</v>
      </c>
    </row>
    <row r="998" spans="1:12" s="73" customFormat="1" ht="20.100000000000001" customHeight="1" x14ac:dyDescent="0.25">
      <c r="A998" s="327"/>
      <c r="B998" s="322"/>
      <c r="C998" s="7">
        <f>C997/14.06*19.53*1.039</f>
        <v>7225.3013358444859</v>
      </c>
      <c r="D998" s="7">
        <f t="shared" ref="D998:J998" si="558">D997/14.06*19.53*1.039</f>
        <v>9149.0680480903284</v>
      </c>
      <c r="E998" s="7">
        <f t="shared" si="558"/>
        <v>1188.7352312242001</v>
      </c>
      <c r="F998" s="7">
        <f t="shared" si="558"/>
        <v>678.75430773606695</v>
      </c>
      <c r="G998" s="7">
        <f t="shared" si="558"/>
        <v>1663.8406638675779</v>
      </c>
      <c r="H998" s="7">
        <f t="shared" si="558"/>
        <v>696.22021054121603</v>
      </c>
      <c r="I998" s="7">
        <f t="shared" si="558"/>
        <v>3938.7398495105199</v>
      </c>
      <c r="J998" s="7">
        <f t="shared" si="558"/>
        <v>3695.9987266913045</v>
      </c>
      <c r="K998" s="7" t="s">
        <v>131</v>
      </c>
      <c r="L998" s="8" t="s">
        <v>131</v>
      </c>
    </row>
    <row r="999" spans="1:12" s="73" customFormat="1" ht="20.100000000000001" customHeight="1" x14ac:dyDescent="0.25">
      <c r="A999" s="327"/>
      <c r="B999" s="322"/>
      <c r="C999" s="35">
        <f>C998*0.0214</f>
        <v>154.621448587072</v>
      </c>
      <c r="D999" s="35">
        <f t="shared" ref="D999:J999" si="559">D998*0.0214</f>
        <v>195.79005622913303</v>
      </c>
      <c r="E999" s="35">
        <f t="shared" si="559"/>
        <v>25.438933948197882</v>
      </c>
      <c r="F999" s="35">
        <f t="shared" si="559"/>
        <v>14.525342185551832</v>
      </c>
      <c r="G999" s="35">
        <f t="shared" si="559"/>
        <v>35.606190206766165</v>
      </c>
      <c r="H999" s="35">
        <f t="shared" si="559"/>
        <v>14.899112505582023</v>
      </c>
      <c r="I999" s="35">
        <f t="shared" si="559"/>
        <v>84.289032779525115</v>
      </c>
      <c r="J999" s="35">
        <f t="shared" si="559"/>
        <v>79.094372751193916</v>
      </c>
      <c r="K999" s="35" t="s">
        <v>131</v>
      </c>
      <c r="L999" s="62" t="s">
        <v>131</v>
      </c>
    </row>
    <row r="1000" spans="1:12" s="73" customFormat="1" ht="20.100000000000001" hidden="1" customHeight="1" x14ac:dyDescent="0.25">
      <c r="A1000" s="327"/>
      <c r="B1000" s="322"/>
      <c r="C1000" s="16">
        <f>7241/588.4</f>
        <v>12.306254248810333</v>
      </c>
      <c r="D1000" s="16">
        <f>5965/310</f>
        <v>19.241935483870968</v>
      </c>
      <c r="E1000" s="16">
        <f>3923/588.4</f>
        <v>6.6672331747110816</v>
      </c>
      <c r="F1000" s="16">
        <f>4937/2/588.4</f>
        <v>4.1952753229095858</v>
      </c>
      <c r="G1000" s="16">
        <f>4673/588.4</f>
        <v>7.9418762746431</v>
      </c>
      <c r="H1000" s="16">
        <f>F1000</f>
        <v>4.1952753229095858</v>
      </c>
      <c r="I1000" s="16">
        <f>6255/588.4</f>
        <v>10.630523453433039</v>
      </c>
      <c r="J1000" s="16">
        <f>3184/588.4</f>
        <v>5.4112848402447318</v>
      </c>
      <c r="K1000" s="16" t="s">
        <v>131</v>
      </c>
      <c r="L1000" s="15" t="s">
        <v>131</v>
      </c>
    </row>
    <row r="1001" spans="1:12" s="73" customFormat="1" ht="20.100000000000001" hidden="1" customHeight="1" thickBot="1" x14ac:dyDescent="0.3">
      <c r="A1001" s="327"/>
      <c r="B1001" s="322"/>
      <c r="C1001" s="18">
        <f>(1/682.2)*84902.76*1.2*P4</f>
        <v>184.97860177253156</v>
      </c>
      <c r="D1001" s="18">
        <f>(1/682.2)*72167.04*1.2*P4</f>
        <v>157.23114482099706</v>
      </c>
      <c r="E1001" s="18">
        <f>(1/682.2)*56601.84*1.2*P4</f>
        <v>123.31906784835435</v>
      </c>
      <c r="F1001" s="18">
        <f>(1/682.2)*42451.38*1.2*P4</f>
        <v>92.489300886265781</v>
      </c>
      <c r="G1001" s="19">
        <f>(1/682.2)*42451.38*1.2*P4</f>
        <v>92.489300886265781</v>
      </c>
      <c r="H1001" s="19">
        <f>(1/682.2)*42451.38*1.2*P4</f>
        <v>92.489300886265781</v>
      </c>
      <c r="I1001" s="19">
        <f>(1/682.2)*55893.96*1.2*P4</f>
        <v>121.77680170031938</v>
      </c>
      <c r="J1001" s="19">
        <f>(1/682.2)*69337.56*1.2*P4</f>
        <v>151.06652479988887</v>
      </c>
      <c r="K1001" s="18" t="s">
        <v>131</v>
      </c>
      <c r="L1001" s="34" t="s">
        <v>131</v>
      </c>
    </row>
    <row r="1002" spans="1:12" s="73" customFormat="1" ht="20.100000000000001" customHeight="1" thickBot="1" x14ac:dyDescent="0.3">
      <c r="A1002" s="327"/>
      <c r="B1002" s="323"/>
      <c r="C1002" s="18">
        <f>C1001+C1000</f>
        <v>197.28485602134191</v>
      </c>
      <c r="D1002" s="18">
        <f t="shared" ref="D1002:J1002" si="560">D1001+D1000</f>
        <v>176.47308030486803</v>
      </c>
      <c r="E1002" s="18">
        <f t="shared" si="560"/>
        <v>129.98630102306544</v>
      </c>
      <c r="F1002" s="18">
        <f t="shared" si="560"/>
        <v>96.684576209175361</v>
      </c>
      <c r="G1002" s="18">
        <f t="shared" si="560"/>
        <v>100.43117716090887</v>
      </c>
      <c r="H1002" s="18">
        <f t="shared" si="560"/>
        <v>96.684576209175361</v>
      </c>
      <c r="I1002" s="18">
        <f t="shared" si="560"/>
        <v>132.40732515375242</v>
      </c>
      <c r="J1002" s="18">
        <f t="shared" si="560"/>
        <v>156.47780964013359</v>
      </c>
      <c r="K1002" s="18" t="s">
        <v>131</v>
      </c>
      <c r="L1002" s="34" t="s">
        <v>131</v>
      </c>
    </row>
    <row r="1003" spans="1:12" s="73" customFormat="1" ht="20.100000000000001" customHeight="1" thickBot="1" x14ac:dyDescent="0.3">
      <c r="A1003" s="328"/>
      <c r="B1003" s="259" t="s">
        <v>212</v>
      </c>
      <c r="C1003" s="36">
        <f>SUM(C998:C1001)</f>
        <v>7577.2076404529007</v>
      </c>
      <c r="D1003" s="36">
        <f t="shared" ref="D1003:J1003" si="561">SUM(D998:D1001)</f>
        <v>9521.3311846243287</v>
      </c>
      <c r="E1003" s="36">
        <f t="shared" si="561"/>
        <v>1344.1604661954634</v>
      </c>
      <c r="F1003" s="36">
        <f t="shared" si="561"/>
        <v>789.96422613079415</v>
      </c>
      <c r="G1003" s="36">
        <f t="shared" si="561"/>
        <v>1799.8780312352528</v>
      </c>
      <c r="H1003" s="36">
        <f t="shared" si="561"/>
        <v>807.80389925597342</v>
      </c>
      <c r="I1003" s="36">
        <f t="shared" si="561"/>
        <v>4155.4362074437977</v>
      </c>
      <c r="J1003" s="36">
        <f t="shared" si="561"/>
        <v>3931.5709090826322</v>
      </c>
      <c r="K1003" s="36" t="s">
        <v>131</v>
      </c>
      <c r="L1003" s="37" t="s">
        <v>131</v>
      </c>
    </row>
    <row r="1004" spans="1:12" s="81" customFormat="1" ht="20.100000000000001" hidden="1" customHeight="1" x14ac:dyDescent="0.25">
      <c r="A1004" s="327" t="s">
        <v>1074</v>
      </c>
      <c r="B1004" s="321" t="s">
        <v>186</v>
      </c>
      <c r="C1004" s="23">
        <v>6257.1513460076058</v>
      </c>
      <c r="D1004" s="23">
        <v>6785.5822387500002</v>
      </c>
      <c r="E1004" s="23">
        <v>1017.3943840304183</v>
      </c>
      <c r="F1004" s="23">
        <v>580.92063117870737</v>
      </c>
      <c r="G1004" s="23">
        <v>1424.0194980988595</v>
      </c>
      <c r="H1004" s="23">
        <v>610.64820532319391</v>
      </c>
      <c r="I1004" s="23">
        <v>3371.0213155893543</v>
      </c>
      <c r="J1004" s="23">
        <v>3375.958045627377</v>
      </c>
      <c r="K1004" s="23" t="s">
        <v>131</v>
      </c>
      <c r="L1004" s="21" t="s">
        <v>131</v>
      </c>
    </row>
    <row r="1005" spans="1:12" s="81" customFormat="1" ht="20.100000000000001" customHeight="1" x14ac:dyDescent="0.25">
      <c r="A1005" s="327"/>
      <c r="B1005" s="322"/>
      <c r="C1005" s="16">
        <f>C1004/14.06*19.53*1.039</f>
        <v>9030.4445414823731</v>
      </c>
      <c r="D1005" s="16">
        <f t="shared" ref="D1005:J1005" si="562">D1004/14.06*19.53*1.039</f>
        <v>9793.0864542372838</v>
      </c>
      <c r="E1005" s="16">
        <f t="shared" si="562"/>
        <v>1468.3236913654707</v>
      </c>
      <c r="F1005" s="16">
        <f t="shared" si="562"/>
        <v>838.39614111451215</v>
      </c>
      <c r="G1005" s="16">
        <f t="shared" si="562"/>
        <v>2055.1730959450697</v>
      </c>
      <c r="H1005" s="16">
        <f t="shared" si="562"/>
        <v>881.29956390544044</v>
      </c>
      <c r="I1005" s="16">
        <f t="shared" si="562"/>
        <v>4865.1246158538424</v>
      </c>
      <c r="J1005" s="16">
        <f t="shared" si="562"/>
        <v>4872.2494022557376</v>
      </c>
      <c r="K1005" s="16" t="s">
        <v>131</v>
      </c>
      <c r="L1005" s="15" t="s">
        <v>131</v>
      </c>
    </row>
    <row r="1006" spans="1:12" s="81" customFormat="1" ht="20.100000000000001" customHeight="1" x14ac:dyDescent="0.25">
      <c r="A1006" s="327"/>
      <c r="B1006" s="322"/>
      <c r="C1006" s="35">
        <f>C1005*0.0214</f>
        <v>193.25151318772276</v>
      </c>
      <c r="D1006" s="35">
        <f t="shared" ref="D1006:J1006" si="563">D1005*0.0214</f>
        <v>209.57205012067786</v>
      </c>
      <c r="E1006" s="35">
        <f t="shared" si="563"/>
        <v>31.42212699522107</v>
      </c>
      <c r="F1006" s="35">
        <f t="shared" si="563"/>
        <v>17.94167741985056</v>
      </c>
      <c r="G1006" s="35">
        <f t="shared" si="563"/>
        <v>43.980704253224488</v>
      </c>
      <c r="H1006" s="35">
        <f t="shared" si="563"/>
        <v>18.859810667576426</v>
      </c>
      <c r="I1006" s="35">
        <f t="shared" si="563"/>
        <v>104.11366677927222</v>
      </c>
      <c r="J1006" s="35">
        <f t="shared" si="563"/>
        <v>104.26613720827278</v>
      </c>
      <c r="K1006" s="35" t="s">
        <v>131</v>
      </c>
      <c r="L1006" s="62" t="s">
        <v>131</v>
      </c>
    </row>
    <row r="1007" spans="1:12" s="81" customFormat="1" ht="20.100000000000001" hidden="1" customHeight="1" x14ac:dyDescent="0.25">
      <c r="A1007" s="327"/>
      <c r="B1007" s="322"/>
      <c r="C1007" s="16">
        <f>10488/975.15</f>
        <v>10.75526842024304</v>
      </c>
      <c r="D1007" s="16">
        <f>8374/490</f>
        <v>17.089795918367347</v>
      </c>
      <c r="E1007" s="93">
        <f>4989/975.15</f>
        <v>5.1161359790801413</v>
      </c>
      <c r="F1007" s="16">
        <f>6670/2/975.15</f>
        <v>3.4199866687176335</v>
      </c>
      <c r="G1007" s="16">
        <f>6233/975.15</f>
        <v>6.3918371532584732</v>
      </c>
      <c r="H1007" s="16">
        <f>F1007</f>
        <v>3.4199866687176335</v>
      </c>
      <c r="I1007" s="16">
        <f>8855/975.15</f>
        <v>9.0806542583192336</v>
      </c>
      <c r="J1007" s="16">
        <f>3764/975.15</f>
        <v>3.8599189868225401</v>
      </c>
      <c r="K1007" s="16" t="s">
        <v>131</v>
      </c>
      <c r="L1007" s="15" t="s">
        <v>131</v>
      </c>
    </row>
    <row r="1008" spans="1:12" s="81" customFormat="1" ht="20.100000000000001" hidden="1" customHeight="1" thickBot="1" x14ac:dyDescent="0.3">
      <c r="A1008" s="327"/>
      <c r="B1008" s="322"/>
      <c r="C1008" s="18">
        <f>(1/552.3)*83673.66*1.2*P4</f>
        <v>225.17756671843108</v>
      </c>
      <c r="D1008" s="18">
        <f>(1/280)*29286.24*1.2*P4</f>
        <v>155.45939912120298</v>
      </c>
      <c r="E1008" s="9">
        <f>(1/552.3)*55782.78*1.2*P4</f>
        <v>150.11929280002286</v>
      </c>
      <c r="F1008" s="18">
        <f>(1/552.3)*41837.34*1.2*P4</f>
        <v>112.59015584081878</v>
      </c>
      <c r="G1008" s="19">
        <f>(1/552.3)*41837.34*1.2*P4</f>
        <v>112.59015584081878</v>
      </c>
      <c r="H1008" s="19">
        <f>(1/552.3)*41837.34*1.2*P4</f>
        <v>112.59015584081878</v>
      </c>
      <c r="I1008" s="19">
        <f>(1/552.3)*55085.1*1.2*P4</f>
        <v>148.24173796678005</v>
      </c>
      <c r="J1008" s="19">
        <f>(1/552.3)*68333.88*1.2*P4</f>
        <v>183.89606505594787</v>
      </c>
      <c r="K1008" s="18" t="s">
        <v>131</v>
      </c>
      <c r="L1008" s="20" t="s">
        <v>131</v>
      </c>
    </row>
    <row r="1009" spans="1:12" s="81" customFormat="1" ht="20.100000000000001" customHeight="1" thickBot="1" x14ac:dyDescent="0.3">
      <c r="A1009" s="327"/>
      <c r="B1009" s="323"/>
      <c r="C1009" s="18">
        <f>C1008+C1007</f>
        <v>235.93283513867411</v>
      </c>
      <c r="D1009" s="18">
        <f t="shared" ref="D1009:J1009" si="564">D1008+D1007</f>
        <v>172.54919503957032</v>
      </c>
      <c r="E1009" s="18">
        <f t="shared" si="564"/>
        <v>155.23542877910302</v>
      </c>
      <c r="F1009" s="18">
        <f t="shared" si="564"/>
        <v>116.01014250953641</v>
      </c>
      <c r="G1009" s="18">
        <f t="shared" si="564"/>
        <v>118.98199299407726</v>
      </c>
      <c r="H1009" s="18">
        <f t="shared" si="564"/>
        <v>116.01014250953641</v>
      </c>
      <c r="I1009" s="18">
        <f t="shared" si="564"/>
        <v>157.32239222509929</v>
      </c>
      <c r="J1009" s="18">
        <f t="shared" si="564"/>
        <v>187.75598404277042</v>
      </c>
      <c r="K1009" s="64" t="s">
        <v>131</v>
      </c>
      <c r="L1009" s="34" t="s">
        <v>131</v>
      </c>
    </row>
    <row r="1010" spans="1:12" s="81" customFormat="1" ht="20.100000000000001" customHeight="1" thickBot="1" x14ac:dyDescent="0.3">
      <c r="A1010" s="328"/>
      <c r="B1010" s="265" t="s">
        <v>212</v>
      </c>
      <c r="C1010" s="36">
        <f>SUM(C1005:C1008)</f>
        <v>9459.6288898087696</v>
      </c>
      <c r="D1010" s="36">
        <f t="shared" ref="D1010:J1010" si="565">SUM(D1005:D1008)</f>
        <v>10175.207699397532</v>
      </c>
      <c r="E1010" s="36">
        <f t="shared" si="565"/>
        <v>1654.9812471397947</v>
      </c>
      <c r="F1010" s="36">
        <f t="shared" si="565"/>
        <v>972.34796104389909</v>
      </c>
      <c r="G1010" s="36">
        <f t="shared" si="565"/>
        <v>2218.1357931923712</v>
      </c>
      <c r="H1010" s="36">
        <f t="shared" si="565"/>
        <v>1016.1695170825533</v>
      </c>
      <c r="I1010" s="36">
        <f t="shared" si="565"/>
        <v>5126.560674858215</v>
      </c>
      <c r="J1010" s="36">
        <f t="shared" si="565"/>
        <v>5164.2715235067808</v>
      </c>
      <c r="K1010" s="94" t="s">
        <v>131</v>
      </c>
      <c r="L1010" s="34" t="s">
        <v>131</v>
      </c>
    </row>
    <row r="1011" spans="1:12" s="81" customFormat="1" ht="20.100000000000001" hidden="1" customHeight="1" x14ac:dyDescent="0.25">
      <c r="A1011" s="327" t="s">
        <v>1075</v>
      </c>
      <c r="B1011" s="321" t="s">
        <v>130</v>
      </c>
      <c r="C1011" s="23">
        <v>3721.7952301483019</v>
      </c>
      <c r="D1011" s="23">
        <v>7409.7807976744189</v>
      </c>
      <c r="E1011" s="23">
        <v>619.94423384523157</v>
      </c>
      <c r="F1011" s="23">
        <v>291.66890425466892</v>
      </c>
      <c r="G1011" s="23">
        <v>813.36835372243218</v>
      </c>
      <c r="H1011" s="23">
        <v>272.64997271387398</v>
      </c>
      <c r="I1011" s="23">
        <v>1840.7115798708419</v>
      </c>
      <c r="J1011" s="23">
        <v>2387.5935053829435</v>
      </c>
      <c r="K1011" s="23">
        <v>540.54217743946504</v>
      </c>
      <c r="L1011" s="21" t="s">
        <v>131</v>
      </c>
    </row>
    <row r="1012" spans="1:12" s="81" customFormat="1" ht="20.100000000000001" customHeight="1" x14ac:dyDescent="0.25">
      <c r="A1012" s="327"/>
      <c r="B1012" s="322"/>
      <c r="C1012" s="16">
        <f>C1011/14.06*19.53*1.039</f>
        <v>5371.368464988861</v>
      </c>
      <c r="D1012" s="16">
        <f t="shared" ref="D1012:K1012" si="566">D1011/14.06*19.53*1.039</f>
        <v>10693.942156383077</v>
      </c>
      <c r="E1012" s="16">
        <f t="shared" si="566"/>
        <v>894.71577607327663</v>
      </c>
      <c r="F1012" s="16">
        <f t="shared" si="566"/>
        <v>420.94232961574238</v>
      </c>
      <c r="G1012" s="16">
        <f t="shared" si="566"/>
        <v>1173.8692903398908</v>
      </c>
      <c r="H1012" s="16">
        <f t="shared" si="566"/>
        <v>393.49383156606939</v>
      </c>
      <c r="I1012" s="16">
        <f t="shared" si="566"/>
        <v>2656.5513473625724</v>
      </c>
      <c r="J1012" s="16">
        <f t="shared" si="566"/>
        <v>3445.8221554319989</v>
      </c>
      <c r="K1012" s="16">
        <f t="shared" si="566"/>
        <v>780.12115829893798</v>
      </c>
      <c r="L1012" s="15" t="s">
        <v>131</v>
      </c>
    </row>
    <row r="1013" spans="1:12" s="81" customFormat="1" ht="20.100000000000001" customHeight="1" x14ac:dyDescent="0.25">
      <c r="A1013" s="327"/>
      <c r="B1013" s="322"/>
      <c r="C1013" s="35">
        <f>C1012*0.0214</f>
        <v>114.94728515076162</v>
      </c>
      <c r="D1013" s="35">
        <f t="shared" ref="D1013:K1013" si="567">D1012*0.0214</f>
        <v>228.85036214659783</v>
      </c>
      <c r="E1013" s="35">
        <f t="shared" si="567"/>
        <v>19.14691760796812</v>
      </c>
      <c r="F1013" s="35">
        <f t="shared" si="567"/>
        <v>9.0081658537768856</v>
      </c>
      <c r="G1013" s="35">
        <f t="shared" si="567"/>
        <v>25.120802813273659</v>
      </c>
      <c r="H1013" s="35">
        <f t="shared" si="567"/>
        <v>8.4207679955138843</v>
      </c>
      <c r="I1013" s="35">
        <f t="shared" si="567"/>
        <v>56.850198833559048</v>
      </c>
      <c r="J1013" s="35">
        <f t="shared" si="567"/>
        <v>73.740594126244773</v>
      </c>
      <c r="K1013" s="35">
        <f t="shared" si="567"/>
        <v>16.694592787597273</v>
      </c>
      <c r="L1013" s="62" t="s">
        <v>131</v>
      </c>
    </row>
    <row r="1014" spans="1:12" s="81" customFormat="1" ht="20.100000000000001" hidden="1" customHeight="1" x14ac:dyDescent="0.25">
      <c r="A1014" s="327"/>
      <c r="B1014" s="322"/>
      <c r="C1014" s="16">
        <f>11242/1641.43</f>
        <v>6.8489061367222481</v>
      </c>
      <c r="D1014" s="16">
        <f>11004/575</f>
        <v>19.137391304347826</v>
      </c>
      <c r="E1014" s="16">
        <f>6226/1641.43</f>
        <v>3.7930341226857069</v>
      </c>
      <c r="F1014" s="16">
        <f>11995/2/1641.43</f>
        <v>3.6538262368788188</v>
      </c>
      <c r="G1014" s="16">
        <f>9054/1641.43</f>
        <v>5.5159220923219383</v>
      </c>
      <c r="H1014" s="16">
        <f>F1014</f>
        <v>3.6538262368788188</v>
      </c>
      <c r="I1014" s="16">
        <f>20084/1641.43</f>
        <v>12.235672553809787</v>
      </c>
      <c r="J1014" s="16">
        <f>3943/1641.43</f>
        <v>2.4021737143831903</v>
      </c>
      <c r="K1014" s="16">
        <f>J1014</f>
        <v>2.4021737143831903</v>
      </c>
      <c r="L1014" s="15" t="s">
        <v>131</v>
      </c>
    </row>
    <row r="1015" spans="1:12" s="81" customFormat="1" ht="20.100000000000001" hidden="1" customHeight="1" thickBot="1" x14ac:dyDescent="0.3">
      <c r="A1015" s="327"/>
      <c r="B1015" s="322"/>
      <c r="C1015" s="18">
        <f>(1/1641.4)*138675.12*1.2*P4</f>
        <v>125.57278325634724</v>
      </c>
      <c r="D1015" s="18">
        <f>(1/575)*48535.68*1.2*P4</f>
        <v>125.45982369918535</v>
      </c>
      <c r="E1015" s="18">
        <f>(1/1641.4)*92449.74*1.2*P4</f>
        <v>83.714880961528337</v>
      </c>
      <c r="F1015" s="18">
        <f>(1/1641.4)*69337.56*1.2*P4</f>
        <v>62.786391628173618</v>
      </c>
      <c r="G1015" s="19">
        <f>(1/1641.4)*69337.56*1.2*P4</f>
        <v>62.786391628173618</v>
      </c>
      <c r="H1015" s="19">
        <f>(1/1641.4)*69337.56*1.2*P4</f>
        <v>62.786391628173618</v>
      </c>
      <c r="I1015" s="19">
        <f>(1/1641.4)*91294.08*1.2*P4</f>
        <v>82.668410313455112</v>
      </c>
      <c r="J1015" s="19">
        <f>(1/1641.4)*113250.6*1.2*P4</f>
        <v>102.55042899873662</v>
      </c>
      <c r="K1015" s="18">
        <f>(1/1641.4)*48535.68*1.2*P4</f>
        <v>43.94991996285583</v>
      </c>
      <c r="L1015" s="34" t="s">
        <v>131</v>
      </c>
    </row>
    <row r="1016" spans="1:12" s="81" customFormat="1" ht="20.100000000000001" customHeight="1" thickBot="1" x14ac:dyDescent="0.3">
      <c r="A1016" s="327"/>
      <c r="B1016" s="323"/>
      <c r="C1016" s="18">
        <f>C1015+C1014</f>
        <v>132.42168939306947</v>
      </c>
      <c r="D1016" s="18">
        <f t="shared" ref="D1016:K1016" si="568">D1015+D1014</f>
        <v>144.59721500353317</v>
      </c>
      <c r="E1016" s="18">
        <f t="shared" si="568"/>
        <v>87.507915084214048</v>
      </c>
      <c r="F1016" s="18">
        <f t="shared" si="568"/>
        <v>66.440217865052432</v>
      </c>
      <c r="G1016" s="18">
        <f t="shared" si="568"/>
        <v>68.302313720495562</v>
      </c>
      <c r="H1016" s="18">
        <f t="shared" si="568"/>
        <v>66.440217865052432</v>
      </c>
      <c r="I1016" s="18">
        <f t="shared" si="568"/>
        <v>94.904082867264904</v>
      </c>
      <c r="J1016" s="18">
        <f t="shared" si="568"/>
        <v>104.95260271311982</v>
      </c>
      <c r="K1016" s="18">
        <f t="shared" si="568"/>
        <v>46.352093677239019</v>
      </c>
      <c r="L1016" s="34" t="s">
        <v>131</v>
      </c>
    </row>
    <row r="1017" spans="1:12" s="81" customFormat="1" ht="20.100000000000001" customHeight="1" thickBot="1" x14ac:dyDescent="0.3">
      <c r="A1017" s="328"/>
      <c r="B1017" s="259" t="s">
        <v>212</v>
      </c>
      <c r="C1017" s="36">
        <f>SUM(C1012:C1015)</f>
        <v>5618.7374395326924</v>
      </c>
      <c r="D1017" s="36">
        <f t="shared" ref="D1017:K1017" si="569">SUM(D1012:D1015)</f>
        <v>11067.389733533208</v>
      </c>
      <c r="E1017" s="36">
        <f t="shared" si="569"/>
        <v>1001.3706087654589</v>
      </c>
      <c r="F1017" s="36">
        <f t="shared" si="569"/>
        <v>496.39071333457173</v>
      </c>
      <c r="G1017" s="36">
        <f t="shared" si="569"/>
        <v>1267.29240687366</v>
      </c>
      <c r="H1017" s="36">
        <f t="shared" si="569"/>
        <v>468.35481742663569</v>
      </c>
      <c r="I1017" s="36">
        <f t="shared" si="569"/>
        <v>2808.3056290633967</v>
      </c>
      <c r="J1017" s="36">
        <f t="shared" si="569"/>
        <v>3624.5153522713631</v>
      </c>
      <c r="K1017" s="36">
        <f t="shared" si="569"/>
        <v>843.16784476377416</v>
      </c>
      <c r="L1017" s="37" t="s">
        <v>131</v>
      </c>
    </row>
    <row r="1018" spans="1:12" s="73" customFormat="1" ht="20.100000000000001" hidden="1" customHeight="1" thickBot="1" x14ac:dyDescent="0.3">
      <c r="A1018" s="327" t="s">
        <v>1076</v>
      </c>
      <c r="B1018" s="321" t="s">
        <v>187</v>
      </c>
      <c r="C1018" s="9">
        <v>4176.5699405756732</v>
      </c>
      <c r="D1018" s="9">
        <v>5701.2165043750001</v>
      </c>
      <c r="E1018" s="9">
        <v>637.92729526462381</v>
      </c>
      <c r="F1018" s="9">
        <v>444.16207938718662</v>
      </c>
      <c r="G1018" s="9">
        <v>1037.6471935933146</v>
      </c>
      <c r="H1018" s="9">
        <v>515.28603435468904</v>
      </c>
      <c r="I1018" s="9">
        <v>1648.1737298050139</v>
      </c>
      <c r="J1018" s="9">
        <v>2011.8148303156916</v>
      </c>
      <c r="K1018" s="9">
        <v>458.50026160631387</v>
      </c>
      <c r="L1018" s="20" t="s">
        <v>131</v>
      </c>
    </row>
    <row r="1019" spans="1:12" s="73" customFormat="1" ht="20.100000000000001" customHeight="1" x14ac:dyDescent="0.25">
      <c r="A1019" s="327"/>
      <c r="B1019" s="322"/>
      <c r="C1019" s="7">
        <f>C1018/14.06*19.53*1.039</f>
        <v>6027.7083190669391</v>
      </c>
      <c r="D1019" s="7">
        <f t="shared" ref="D1019:K1019" si="570">D1018/14.06*19.53*1.039</f>
        <v>8228.1083858699185</v>
      </c>
      <c r="E1019" s="7">
        <f t="shared" si="570"/>
        <v>920.66928588209873</v>
      </c>
      <c r="F1019" s="7">
        <f t="shared" si="570"/>
        <v>641.02349512365527</v>
      </c>
      <c r="G1019" s="7">
        <f t="shared" si="570"/>
        <v>1497.5529465733753</v>
      </c>
      <c r="H1019" s="7">
        <f t="shared" si="570"/>
        <v>743.67099322432523</v>
      </c>
      <c r="I1019" s="7">
        <f t="shared" si="570"/>
        <v>2378.6769152114157</v>
      </c>
      <c r="J1019" s="7">
        <f t="shared" si="570"/>
        <v>2903.4909415271695</v>
      </c>
      <c r="K1019" s="7">
        <f t="shared" si="570"/>
        <v>661.71664320263085</v>
      </c>
      <c r="L1019" s="8" t="s">
        <v>131</v>
      </c>
    </row>
    <row r="1020" spans="1:12" s="73" customFormat="1" ht="20.100000000000001" customHeight="1" x14ac:dyDescent="0.25">
      <c r="A1020" s="327"/>
      <c r="B1020" s="322"/>
      <c r="C1020" s="35">
        <f>C1019*0.0214</f>
        <v>128.99295802803249</v>
      </c>
      <c r="D1020" s="35">
        <f t="shared" ref="D1020:K1020" si="571">D1019*0.0214</f>
        <v>176.08151945761625</v>
      </c>
      <c r="E1020" s="35">
        <f t="shared" si="571"/>
        <v>19.70232271787691</v>
      </c>
      <c r="F1020" s="35">
        <f t="shared" si="571"/>
        <v>13.717902795646221</v>
      </c>
      <c r="G1020" s="35">
        <f t="shared" si="571"/>
        <v>32.047633056670229</v>
      </c>
      <c r="H1020" s="35">
        <f t="shared" si="571"/>
        <v>15.91455925500056</v>
      </c>
      <c r="I1020" s="35">
        <f t="shared" si="571"/>
        <v>50.903685985524291</v>
      </c>
      <c r="J1020" s="35">
        <f t="shared" si="571"/>
        <v>62.134706148681424</v>
      </c>
      <c r="K1020" s="35">
        <f t="shared" si="571"/>
        <v>14.160736164536299</v>
      </c>
      <c r="L1020" s="15" t="s">
        <v>131</v>
      </c>
    </row>
    <row r="1021" spans="1:12" s="73" customFormat="1" ht="20.100000000000001" hidden="1" customHeight="1" x14ac:dyDescent="0.25">
      <c r="A1021" s="327"/>
      <c r="B1021" s="322"/>
      <c r="C1021" s="16">
        <f>14087/1712.4</f>
        <v>8.2264657790235916</v>
      </c>
      <c r="D1021" s="16">
        <f>11041/450</f>
        <v>24.535555555555554</v>
      </c>
      <c r="E1021" s="16">
        <f>7022/1712.4</f>
        <v>4.1006774118196683</v>
      </c>
      <c r="F1021" s="16">
        <f>13043/2/1712.4</f>
        <v>3.8083975706610604</v>
      </c>
      <c r="G1021" s="16">
        <f>9973/1712.4</f>
        <v>5.8239897220275632</v>
      </c>
      <c r="H1021" s="16">
        <f>F1021</f>
        <v>3.8083975706610604</v>
      </c>
      <c r="I1021" s="16">
        <f>21484/1712.4</f>
        <v>12.546134080822236</v>
      </c>
      <c r="J1021" s="16">
        <f>4408/1712.4</f>
        <v>2.5741649147395469</v>
      </c>
      <c r="K1021" s="16">
        <f>J1021</f>
        <v>2.5741649147395469</v>
      </c>
      <c r="L1021" s="15" t="s">
        <v>131</v>
      </c>
    </row>
    <row r="1022" spans="1:12" s="73" customFormat="1" ht="20.100000000000001" hidden="1" customHeight="1" thickBot="1" x14ac:dyDescent="0.3">
      <c r="A1022" s="327"/>
      <c r="B1022" s="322"/>
      <c r="C1022" s="18">
        <f>(1/1292.4)*186995.58*1.2*P4</f>
        <v>215.05314140609875</v>
      </c>
      <c r="D1022" s="18">
        <f>(1/1292.4)*158946.6*1.2*P4</f>
        <v>182.79558076088546</v>
      </c>
      <c r="E1022" s="18">
        <f>(1/1292.4)*124663.38*1.2*P4</f>
        <v>143.36836992244534</v>
      </c>
      <c r="F1022" s="18">
        <f>(1/1292.4)*93498.3*1.2*P4</f>
        <v>107.52715722548012</v>
      </c>
      <c r="G1022" s="18">
        <f>(1/1292.4)*93498.3*1.2*P4</f>
        <v>107.52715722548012</v>
      </c>
      <c r="H1022" s="18">
        <f>(1/1292.4)*93498.3*1.2*P4</f>
        <v>107.52715722548012</v>
      </c>
      <c r="I1022" s="19">
        <f>(1/1292.4)*123105.84*1.2*P4</f>
        <v>141.57713041900013</v>
      </c>
      <c r="J1022" s="19">
        <f>(1/1292.4)*152713.38*1.2*P4</f>
        <v>175.6271036125201</v>
      </c>
      <c r="K1022" s="18">
        <f>(1/1292.4)*65448.3*1.2*P4</f>
        <v>75.268423535405347</v>
      </c>
      <c r="L1022" s="34" t="s">
        <v>131</v>
      </c>
    </row>
    <row r="1023" spans="1:12" s="73" customFormat="1" ht="20.100000000000001" customHeight="1" thickBot="1" x14ac:dyDescent="0.3">
      <c r="A1023" s="327"/>
      <c r="B1023" s="323"/>
      <c r="C1023" s="18">
        <f>C1022+C1021</f>
        <v>223.27960718512233</v>
      </c>
      <c r="D1023" s="18">
        <f t="shared" ref="D1023:K1023" si="572">D1022+D1021</f>
        <v>207.33113631644102</v>
      </c>
      <c r="E1023" s="18">
        <f t="shared" si="572"/>
        <v>147.46904733426501</v>
      </c>
      <c r="F1023" s="18">
        <f t="shared" si="572"/>
        <v>111.33555479614118</v>
      </c>
      <c r="G1023" s="18">
        <f t="shared" si="572"/>
        <v>113.35114694750769</v>
      </c>
      <c r="H1023" s="18">
        <f t="shared" si="572"/>
        <v>111.33555479614118</v>
      </c>
      <c r="I1023" s="18">
        <f t="shared" si="572"/>
        <v>154.12326449982237</v>
      </c>
      <c r="J1023" s="18">
        <f t="shared" si="572"/>
        <v>178.20126852725966</v>
      </c>
      <c r="K1023" s="18">
        <f t="shared" si="572"/>
        <v>77.842588450144888</v>
      </c>
      <c r="L1023" s="34" t="s">
        <v>131</v>
      </c>
    </row>
    <row r="1024" spans="1:12" s="73" customFormat="1" ht="20.100000000000001" customHeight="1" thickBot="1" x14ac:dyDescent="0.3">
      <c r="A1024" s="328"/>
      <c r="B1024" s="259" t="s">
        <v>212</v>
      </c>
      <c r="C1024" s="36">
        <f>SUM(C1019:C1022)</f>
        <v>6379.980884280094</v>
      </c>
      <c r="D1024" s="36">
        <f t="shared" ref="D1024:K1024" si="573">SUM(D1019:D1022)</f>
        <v>8611.5210416439768</v>
      </c>
      <c r="E1024" s="36">
        <f t="shared" si="573"/>
        <v>1087.8406559342407</v>
      </c>
      <c r="F1024" s="36">
        <f t="shared" si="573"/>
        <v>766.07695271544264</v>
      </c>
      <c r="G1024" s="36">
        <f t="shared" si="573"/>
        <v>1642.9517265775532</v>
      </c>
      <c r="H1024" s="36">
        <f t="shared" si="573"/>
        <v>870.92110727546697</v>
      </c>
      <c r="I1024" s="36">
        <f t="shared" si="573"/>
        <v>2583.7038656967625</v>
      </c>
      <c r="J1024" s="36">
        <f t="shared" si="573"/>
        <v>3143.8269162031102</v>
      </c>
      <c r="K1024" s="36">
        <f t="shared" si="573"/>
        <v>753.71996781731195</v>
      </c>
      <c r="L1024" s="37" t="s">
        <v>131</v>
      </c>
    </row>
    <row r="1025" spans="1:12" s="81" customFormat="1" ht="20.100000000000001" hidden="1" customHeight="1" thickBot="1" x14ac:dyDescent="0.3">
      <c r="A1025" s="327" t="s">
        <v>1077</v>
      </c>
      <c r="B1025" s="321" t="s">
        <v>188</v>
      </c>
      <c r="C1025" s="9">
        <v>4102.2540987450702</v>
      </c>
      <c r="D1025" s="9">
        <v>7492.9393889943085</v>
      </c>
      <c r="E1025" s="9">
        <v>591.218751093582</v>
      </c>
      <c r="F1025" s="9">
        <v>411.63095259949807</v>
      </c>
      <c r="G1025" s="9">
        <v>961.67342775188251</v>
      </c>
      <c r="H1025" s="9">
        <v>477.81373036930808</v>
      </c>
      <c r="I1025" s="9">
        <v>1527.4996098243098</v>
      </c>
      <c r="J1025" s="9">
        <v>1841.1009691645754</v>
      </c>
      <c r="K1025" s="9">
        <v>424.6727718178559</v>
      </c>
      <c r="L1025" s="20" t="s">
        <v>131</v>
      </c>
    </row>
    <row r="1026" spans="1:12" s="81" customFormat="1" ht="20.100000000000001" customHeight="1" x14ac:dyDescent="0.25">
      <c r="A1026" s="327"/>
      <c r="B1026" s="322"/>
      <c r="C1026" s="7">
        <f>C1025/14.06*19.53*1.039</f>
        <v>5920.4542267341658</v>
      </c>
      <c r="D1026" s="7">
        <f t="shared" ref="D1026:K1026" si="574">D1025/14.06*19.53*1.039</f>
        <v>10813.958279621205</v>
      </c>
      <c r="E1026" s="7">
        <f t="shared" si="574"/>
        <v>853.25859139424642</v>
      </c>
      <c r="F1026" s="7">
        <f t="shared" si="574"/>
        <v>594.07392972508228</v>
      </c>
      <c r="G1026" s="7">
        <f t="shared" si="574"/>
        <v>1387.9061055270299</v>
      </c>
      <c r="H1026" s="7">
        <f t="shared" si="574"/>
        <v>689.59022319509086</v>
      </c>
      <c r="I1026" s="7">
        <f t="shared" si="574"/>
        <v>2204.517639237813</v>
      </c>
      <c r="J1026" s="7">
        <f t="shared" si="574"/>
        <v>2657.1133216904509</v>
      </c>
      <c r="K1026" s="7">
        <f t="shared" si="574"/>
        <v>612.89614108913452</v>
      </c>
      <c r="L1026" s="8" t="s">
        <v>131</v>
      </c>
    </row>
    <row r="1027" spans="1:12" s="81" customFormat="1" ht="20.100000000000001" customHeight="1" x14ac:dyDescent="0.25">
      <c r="A1027" s="327"/>
      <c r="B1027" s="322"/>
      <c r="C1027" s="35">
        <f>C1026*0.0214</f>
        <v>126.69772045211114</v>
      </c>
      <c r="D1027" s="35">
        <f t="shared" ref="D1027:K1027" si="575">D1026*0.0214</f>
        <v>231.41870718389379</v>
      </c>
      <c r="E1027" s="35">
        <f t="shared" si="575"/>
        <v>18.259733855836874</v>
      </c>
      <c r="F1027" s="35">
        <f t="shared" si="575"/>
        <v>12.713182096116761</v>
      </c>
      <c r="G1027" s="35">
        <f t="shared" si="575"/>
        <v>29.701190658278438</v>
      </c>
      <c r="H1027" s="35">
        <f t="shared" si="575"/>
        <v>14.757230776374943</v>
      </c>
      <c r="I1027" s="35">
        <f t="shared" si="575"/>
        <v>47.176677479689197</v>
      </c>
      <c r="J1027" s="35">
        <f t="shared" si="575"/>
        <v>56.862225084175648</v>
      </c>
      <c r="K1027" s="35">
        <f t="shared" si="575"/>
        <v>13.115977419307479</v>
      </c>
      <c r="L1027" s="15" t="s">
        <v>131</v>
      </c>
    </row>
    <row r="1028" spans="1:12" s="81" customFormat="1" ht="20.100000000000001" hidden="1" customHeight="1" x14ac:dyDescent="0.25">
      <c r="A1028" s="327"/>
      <c r="B1028" s="322"/>
      <c r="C1028" s="16">
        <f>12175/1429.4</f>
        <v>8.5175598153071217</v>
      </c>
      <c r="D1028" s="16">
        <f>9625/360</f>
        <v>26.736111111111111</v>
      </c>
      <c r="E1028" s="16">
        <f>6242/1429.4</f>
        <v>4.3668672170141312</v>
      </c>
      <c r="F1028" s="16">
        <f>11300/2/1429.4</f>
        <v>3.9527074296907792</v>
      </c>
      <c r="G1028" s="16">
        <f>8728/1429.4</f>
        <v>6.1060584860780747</v>
      </c>
      <c r="H1028" s="16">
        <f>F1028</f>
        <v>3.9527074296907792</v>
      </c>
      <c r="I1028" s="16">
        <f>11942/1429.4</f>
        <v>8.3545543584720861</v>
      </c>
      <c r="J1028" s="16">
        <f>4066/1429.4</f>
        <v>2.8445501609066741</v>
      </c>
      <c r="K1028" s="16">
        <f>J1028</f>
        <v>2.8445501609066741</v>
      </c>
      <c r="L1028" s="15" t="s">
        <v>131</v>
      </c>
    </row>
    <row r="1029" spans="1:12" s="81" customFormat="1" ht="20.100000000000001" hidden="1" customHeight="1" thickBot="1" x14ac:dyDescent="0.3">
      <c r="A1029" s="327"/>
      <c r="B1029" s="322"/>
      <c r="C1029" s="18">
        <f>(1/1394.5)*188649*1.2*P4</f>
        <v>201.07005087580907</v>
      </c>
      <c r="D1029" s="18">
        <f>(1/660)*66027.66*1.2*P4</f>
        <v>148.69397439818181</v>
      </c>
      <c r="E1029" s="18">
        <f>(1/1394.5)*125766*1.2*P4</f>
        <v>134.04670058387273</v>
      </c>
      <c r="F1029" s="18">
        <f>(1/1394.5)*94324.5*1.2*P4</f>
        <v>100.53502543790454</v>
      </c>
      <c r="G1029" s="19">
        <f>(1/1394.5)*94324.5*1.2*P4</f>
        <v>100.53502543790454</v>
      </c>
      <c r="H1029" s="19">
        <f>(1/1394.5)*94324.5*1.2*P4</f>
        <v>100.53502543790454</v>
      </c>
      <c r="I1029" s="19">
        <f>(1/1394.5)*124194.18*1.2*P4</f>
        <v>132.37138861631595</v>
      </c>
      <c r="J1029" s="19">
        <f>(1/1394.5)*154063.86*1.2*P4</f>
        <v>164.20775179472739</v>
      </c>
      <c r="K1029" s="18">
        <f>(1/1394.5)*66027.66*1.2*P4</f>
        <v>70.375061386016483</v>
      </c>
      <c r="L1029" s="34" t="s">
        <v>131</v>
      </c>
    </row>
    <row r="1030" spans="1:12" s="81" customFormat="1" ht="20.100000000000001" customHeight="1" thickBot="1" x14ac:dyDescent="0.3">
      <c r="A1030" s="327"/>
      <c r="B1030" s="323"/>
      <c r="C1030" s="18">
        <f>C1029+C1028</f>
        <v>209.5876106911162</v>
      </c>
      <c r="D1030" s="18">
        <f t="shared" ref="D1030:K1030" si="576">D1029+D1028</f>
        <v>175.43008550929292</v>
      </c>
      <c r="E1030" s="18">
        <f t="shared" si="576"/>
        <v>138.41356780088685</v>
      </c>
      <c r="F1030" s="18">
        <f t="shared" si="576"/>
        <v>104.48773286759531</v>
      </c>
      <c r="G1030" s="18">
        <f t="shared" si="576"/>
        <v>106.64108392398261</v>
      </c>
      <c r="H1030" s="18">
        <f t="shared" si="576"/>
        <v>104.48773286759531</v>
      </c>
      <c r="I1030" s="18">
        <f t="shared" si="576"/>
        <v>140.72594297478804</v>
      </c>
      <c r="J1030" s="18">
        <f t="shared" si="576"/>
        <v>167.05230195563405</v>
      </c>
      <c r="K1030" s="18">
        <f t="shared" si="576"/>
        <v>73.219611546923161</v>
      </c>
      <c r="L1030" s="34" t="s">
        <v>131</v>
      </c>
    </row>
    <row r="1031" spans="1:12" s="81" customFormat="1" ht="20.100000000000001" customHeight="1" thickBot="1" x14ac:dyDescent="0.3">
      <c r="A1031" s="328"/>
      <c r="B1031" s="265" t="s">
        <v>212</v>
      </c>
      <c r="C1031" s="36">
        <f>SUM(C1026:C1029)</f>
        <v>6256.7395578773931</v>
      </c>
      <c r="D1031" s="36">
        <f t="shared" ref="D1031:K1031" si="577">SUM(D1026:D1029)</f>
        <v>11220.807072314392</v>
      </c>
      <c r="E1031" s="36">
        <f t="shared" si="577"/>
        <v>1009.9318930509702</v>
      </c>
      <c r="F1031" s="36">
        <f t="shared" si="577"/>
        <v>711.27484468879436</v>
      </c>
      <c r="G1031" s="36">
        <f t="shared" si="577"/>
        <v>1524.248380109291</v>
      </c>
      <c r="H1031" s="36">
        <f t="shared" si="577"/>
        <v>808.83518683906118</v>
      </c>
      <c r="I1031" s="36">
        <f t="shared" si="577"/>
        <v>2392.4202596922901</v>
      </c>
      <c r="J1031" s="36">
        <f t="shared" si="577"/>
        <v>2881.0278487302608</v>
      </c>
      <c r="K1031" s="36">
        <f t="shared" si="577"/>
        <v>699.23173005536512</v>
      </c>
      <c r="L1031" s="37" t="s">
        <v>131</v>
      </c>
    </row>
    <row r="1032" spans="1:12" s="81" customFormat="1" ht="20.100000000000001" hidden="1" customHeight="1" thickBot="1" x14ac:dyDescent="0.3">
      <c r="A1032" s="327" t="s">
        <v>1078</v>
      </c>
      <c r="B1032" s="321" t="s">
        <v>100</v>
      </c>
      <c r="C1032" s="9">
        <v>9218.3304004762867</v>
      </c>
      <c r="D1032" s="9">
        <v>6336.5723820000003</v>
      </c>
      <c r="E1032" s="9">
        <v>1391.4420172653306</v>
      </c>
      <c r="F1032" s="9">
        <v>736.34692974796599</v>
      </c>
      <c r="G1032" s="9" t="s">
        <v>131</v>
      </c>
      <c r="H1032" s="9">
        <v>776.57697023218896</v>
      </c>
      <c r="I1032" s="9">
        <v>4033.1655645961509</v>
      </c>
      <c r="J1032" s="9">
        <v>3750.5658557253423</v>
      </c>
      <c r="K1032" s="9" t="s">
        <v>131</v>
      </c>
      <c r="L1032" s="20" t="s">
        <v>131</v>
      </c>
    </row>
    <row r="1033" spans="1:12" s="81" customFormat="1" ht="20.100000000000001" customHeight="1" x14ac:dyDescent="0.25">
      <c r="A1033" s="327"/>
      <c r="B1033" s="322"/>
      <c r="C1033" s="7">
        <f>C1032/12.79*19.53*1.039</f>
        <v>14625.122629979098</v>
      </c>
      <c r="D1033" s="7">
        <f t="shared" ref="D1033:J1033" si="578">D1032/12.79*19.53*1.039</f>
        <v>10053.138053687095</v>
      </c>
      <c r="E1033" s="7">
        <f t="shared" si="578"/>
        <v>2207.5592055107422</v>
      </c>
      <c r="F1033" s="7">
        <f t="shared" si="578"/>
        <v>1168.2336906926434</v>
      </c>
      <c r="G1033" s="7" t="s">
        <v>131</v>
      </c>
      <c r="H1033" s="7">
        <f t="shared" si="578"/>
        <v>1232.0597036396719</v>
      </c>
      <c r="I1033" s="7">
        <f t="shared" si="578"/>
        <v>6398.7228062665199</v>
      </c>
      <c r="J1033" s="7">
        <f t="shared" si="578"/>
        <v>5950.3709661959547</v>
      </c>
      <c r="K1033" s="7" t="s">
        <v>131</v>
      </c>
      <c r="L1033" s="8" t="s">
        <v>131</v>
      </c>
    </row>
    <row r="1034" spans="1:12" s="81" customFormat="1" ht="20.100000000000001" customHeight="1" x14ac:dyDescent="0.25">
      <c r="A1034" s="327"/>
      <c r="B1034" s="322"/>
      <c r="C1034" s="35">
        <f>C1033*0.0214</f>
        <v>312.97762428155266</v>
      </c>
      <c r="D1034" s="35">
        <f t="shared" ref="D1034:J1034" si="579">D1033*0.0214</f>
        <v>215.13715434890381</v>
      </c>
      <c r="E1034" s="35">
        <f t="shared" si="579"/>
        <v>47.241766997929879</v>
      </c>
      <c r="F1034" s="35">
        <f t="shared" si="579"/>
        <v>25.000200980822569</v>
      </c>
      <c r="G1034" s="35" t="s">
        <v>131</v>
      </c>
      <c r="H1034" s="35">
        <f t="shared" si="579"/>
        <v>26.366077657888976</v>
      </c>
      <c r="I1034" s="35">
        <f t="shared" si="579"/>
        <v>136.93266805410352</v>
      </c>
      <c r="J1034" s="35">
        <f t="shared" si="579"/>
        <v>127.33793867659342</v>
      </c>
      <c r="K1034" s="35" t="s">
        <v>131</v>
      </c>
      <c r="L1034" s="15" t="s">
        <v>131</v>
      </c>
    </row>
    <row r="1035" spans="1:12" s="81" customFormat="1" ht="20.100000000000001" hidden="1" customHeight="1" x14ac:dyDescent="0.25">
      <c r="A1035" s="327"/>
      <c r="B1035" s="322"/>
      <c r="C1035" s="16">
        <f>6531/503.9</f>
        <v>12.960904941456638</v>
      </c>
      <c r="D1035" s="16">
        <f>5439/265</f>
        <v>20.524528301886793</v>
      </c>
      <c r="E1035" s="16">
        <f>3690/503.9</f>
        <v>7.3228815241119269</v>
      </c>
      <c r="F1035" s="16">
        <f>3881/2/503.9</f>
        <v>3.8509624925580472</v>
      </c>
      <c r="G1035" s="16" t="s">
        <v>131</v>
      </c>
      <c r="H1035" s="16">
        <f>F1035</f>
        <v>3.8509624925580472</v>
      </c>
      <c r="I1035" s="16">
        <f>4332/503.9</f>
        <v>8.5969438380631082</v>
      </c>
      <c r="J1035" s="16">
        <f>3057/503.9</f>
        <v>6.0666798968049216</v>
      </c>
      <c r="K1035" s="16" t="s">
        <v>131</v>
      </c>
      <c r="L1035" s="15" t="s">
        <v>131</v>
      </c>
    </row>
    <row r="1036" spans="1:12" s="81" customFormat="1" ht="20.100000000000001" hidden="1" customHeight="1" thickBot="1" x14ac:dyDescent="0.3">
      <c r="A1036" s="327"/>
      <c r="B1036" s="322"/>
      <c r="C1036" s="18">
        <f>(1/503.9)*82890.3*1.2*P4</f>
        <v>244.49543349306984</v>
      </c>
      <c r="D1036" s="18">
        <f>(1/503.9)*70456.5*1.2*P4</f>
        <v>207.82036631432717</v>
      </c>
      <c r="E1036" s="18">
        <f>(1/503.9)*55260.54*1.2*P4</f>
        <v>162.99795853508942</v>
      </c>
      <c r="F1036" s="18">
        <f>(1/503.9)*41445.66*1.2*P4</f>
        <v>122.24922105609926</v>
      </c>
      <c r="G1036" s="18" t="s">
        <v>131</v>
      </c>
      <c r="H1036" s="18">
        <f>(1/503.9)*41445.66*1.2*P4</f>
        <v>122.24922105609926</v>
      </c>
      <c r="I1036" s="19">
        <f>(1/503.9)*54568.98*1.2*P4</f>
        <v>160.958114765837</v>
      </c>
      <c r="J1036" s="19">
        <f>(1/503.9)*67693.32*1.2*P4</f>
        <v>199.67001709470341</v>
      </c>
      <c r="K1036" s="18" t="s">
        <v>131</v>
      </c>
      <c r="L1036" s="34" t="s">
        <v>131</v>
      </c>
    </row>
    <row r="1037" spans="1:12" s="81" customFormat="1" ht="20.100000000000001" customHeight="1" thickBot="1" x14ac:dyDescent="0.3">
      <c r="A1037" s="327"/>
      <c r="B1037" s="323"/>
      <c r="C1037" s="18">
        <f>C1036+C1035</f>
        <v>257.45633843452646</v>
      </c>
      <c r="D1037" s="18">
        <f t="shared" ref="D1037:J1037" si="580">D1036+D1035</f>
        <v>228.34489461621396</v>
      </c>
      <c r="E1037" s="18">
        <f t="shared" si="580"/>
        <v>170.32084005920134</v>
      </c>
      <c r="F1037" s="18">
        <f t="shared" si="580"/>
        <v>126.10018354865731</v>
      </c>
      <c r="G1037" s="18" t="s">
        <v>131</v>
      </c>
      <c r="H1037" s="18">
        <f t="shared" si="580"/>
        <v>126.10018354865731</v>
      </c>
      <c r="I1037" s="18">
        <f t="shared" si="580"/>
        <v>169.55505860390011</v>
      </c>
      <c r="J1037" s="18">
        <f t="shared" si="580"/>
        <v>205.73669699150832</v>
      </c>
      <c r="K1037" s="64" t="s">
        <v>131</v>
      </c>
      <c r="L1037" s="34" t="s">
        <v>131</v>
      </c>
    </row>
    <row r="1038" spans="1:12" s="81" customFormat="1" ht="20.100000000000001" customHeight="1" thickBot="1" x14ac:dyDescent="0.3">
      <c r="A1038" s="328"/>
      <c r="B1038" s="265" t="s">
        <v>212</v>
      </c>
      <c r="C1038" s="36">
        <f>SUM(C1033:C1036)</f>
        <v>15195.556592695177</v>
      </c>
      <c r="D1038" s="36">
        <f t="shared" ref="D1038:J1038" si="581">SUM(D1033:D1036)</f>
        <v>10496.620102652212</v>
      </c>
      <c r="E1038" s="36">
        <f t="shared" si="581"/>
        <v>2425.1218125678733</v>
      </c>
      <c r="F1038" s="36">
        <f t="shared" si="581"/>
        <v>1319.3340752221234</v>
      </c>
      <c r="G1038" s="36" t="s">
        <v>131</v>
      </c>
      <c r="H1038" s="36">
        <f t="shared" si="581"/>
        <v>1384.5259648462181</v>
      </c>
      <c r="I1038" s="36">
        <f t="shared" si="581"/>
        <v>6705.2105329245242</v>
      </c>
      <c r="J1038" s="36">
        <f t="shared" si="581"/>
        <v>6283.4456018640567</v>
      </c>
      <c r="K1038" s="94" t="s">
        <v>131</v>
      </c>
      <c r="L1038" s="34" t="s">
        <v>131</v>
      </c>
    </row>
    <row r="1039" spans="1:12" s="53" customFormat="1" ht="20.100000000000001" customHeight="1" thickBot="1" x14ac:dyDescent="0.3">
      <c r="A1039" s="311" t="s">
        <v>1079</v>
      </c>
      <c r="B1039" s="312"/>
      <c r="C1039" s="312"/>
      <c r="D1039" s="312"/>
      <c r="E1039" s="312"/>
      <c r="F1039" s="312"/>
      <c r="G1039" s="312"/>
      <c r="H1039" s="312"/>
      <c r="I1039" s="312"/>
      <c r="J1039" s="312"/>
      <c r="K1039" s="312"/>
      <c r="L1039" s="313"/>
    </row>
    <row r="1040" spans="1:12" s="81" customFormat="1" ht="20.100000000000001" hidden="1" customHeight="1" thickBot="1" x14ac:dyDescent="0.3">
      <c r="A1040" s="327" t="s">
        <v>1080</v>
      </c>
      <c r="B1040" s="321" t="s">
        <v>101</v>
      </c>
      <c r="C1040" s="95">
        <v>5028.6328142131988</v>
      </c>
      <c r="D1040" s="95">
        <v>6735.2229450000004</v>
      </c>
      <c r="E1040" s="95">
        <v>813.68043959390877</v>
      </c>
      <c r="F1040" s="95">
        <v>464.58131573604066</v>
      </c>
      <c r="G1040" s="95">
        <v>1138.6607634517768</v>
      </c>
      <c r="H1040" s="95">
        <v>482.72639390862946</v>
      </c>
      <c r="I1040" s="95">
        <v>2698.6655817258884</v>
      </c>
      <c r="J1040" s="95">
        <v>2939.2906081218275</v>
      </c>
      <c r="K1040" s="95">
        <v>1020.011672258024</v>
      </c>
      <c r="L1040" s="96" t="s">
        <v>131</v>
      </c>
    </row>
    <row r="1041" spans="1:12" s="81" customFormat="1" ht="20.100000000000001" customHeight="1" x14ac:dyDescent="0.25">
      <c r="A1041" s="327"/>
      <c r="B1041" s="322"/>
      <c r="C1041" s="11">
        <f>C1040/13.19*19.53*1.039</f>
        <v>7736.1150581641805</v>
      </c>
      <c r="D1041" s="11">
        <f t="shared" ref="D1041:K1041" si="582">D1040/13.19*19.53*1.039</f>
        <v>10361.555828382729</v>
      </c>
      <c r="E1041" s="11">
        <f t="shared" si="582"/>
        <v>1251.7767221906392</v>
      </c>
      <c r="F1041" s="11">
        <f t="shared" si="582"/>
        <v>714.71802479769099</v>
      </c>
      <c r="G1041" s="11">
        <f t="shared" si="582"/>
        <v>1751.7307394929126</v>
      </c>
      <c r="H1041" s="11">
        <f t="shared" si="582"/>
        <v>742.63265242486125</v>
      </c>
      <c r="I1041" s="11">
        <f t="shared" si="582"/>
        <v>4151.6627312160545</v>
      </c>
      <c r="J1041" s="11">
        <f t="shared" si="582"/>
        <v>4521.8434461036722</v>
      </c>
      <c r="K1041" s="11">
        <f t="shared" si="582"/>
        <v>1569.1994124039406</v>
      </c>
      <c r="L1041" s="97" t="s">
        <v>131</v>
      </c>
    </row>
    <row r="1042" spans="1:12" s="81" customFormat="1" ht="20.100000000000001" customHeight="1" x14ac:dyDescent="0.25">
      <c r="A1042" s="327"/>
      <c r="B1042" s="322"/>
      <c r="C1042" s="98">
        <f>C1041*0.0214</f>
        <v>165.55286224471345</v>
      </c>
      <c r="D1042" s="98">
        <f t="shared" ref="D1042:K1042" si="583">D1041*0.0214</f>
        <v>221.73729472739038</v>
      </c>
      <c r="E1042" s="98">
        <f t="shared" si="583"/>
        <v>26.788021854879677</v>
      </c>
      <c r="F1042" s="98">
        <f t="shared" si="583"/>
        <v>15.294965730670587</v>
      </c>
      <c r="G1042" s="98">
        <f t="shared" si="583"/>
        <v>37.487037825148327</v>
      </c>
      <c r="H1042" s="98">
        <f t="shared" si="583"/>
        <v>15.892338761892029</v>
      </c>
      <c r="I1042" s="98">
        <f t="shared" si="583"/>
        <v>88.845582448023563</v>
      </c>
      <c r="J1042" s="98">
        <f t="shared" si="583"/>
        <v>96.767449746618581</v>
      </c>
      <c r="K1042" s="98">
        <f t="shared" si="583"/>
        <v>33.580867425444325</v>
      </c>
      <c r="L1042" s="99" t="s">
        <v>131</v>
      </c>
    </row>
    <row r="1043" spans="1:12" s="81" customFormat="1" ht="20.100000000000001" hidden="1" customHeight="1" x14ac:dyDescent="0.25">
      <c r="A1043" s="327"/>
      <c r="B1043" s="322"/>
      <c r="C1043" s="98">
        <f>8290/689.5</f>
        <v>12.023205221174765</v>
      </c>
      <c r="D1043" s="98">
        <f>6795/345</f>
        <v>19.695652173913043</v>
      </c>
      <c r="E1043" s="98">
        <f>4401/690</f>
        <v>6.3782608695652172</v>
      </c>
      <c r="F1043" s="98">
        <f>4663/2/689.5</f>
        <v>3.3814358230601886</v>
      </c>
      <c r="G1043" s="98">
        <f>4354/689.5</f>
        <v>6.3147208121827409</v>
      </c>
      <c r="H1043" s="98">
        <f>F1043</f>
        <v>3.3814358230601886</v>
      </c>
      <c r="I1043" s="98">
        <f>5281/689.5</f>
        <v>7.659173313995649</v>
      </c>
      <c r="J1043" s="98">
        <f>3535/689.5</f>
        <v>5.126903553299492</v>
      </c>
      <c r="K1043" s="98">
        <f>J1043</f>
        <v>5.126903553299492</v>
      </c>
      <c r="L1043" s="99" t="s">
        <v>131</v>
      </c>
    </row>
    <row r="1044" spans="1:12" s="81" customFormat="1" ht="20.100000000000001" hidden="1" customHeight="1" thickBot="1" x14ac:dyDescent="0.3">
      <c r="A1044" s="327"/>
      <c r="B1044" s="322"/>
      <c r="C1044" s="100">
        <f>(1/689.5)*85895.22*1.2*P4</f>
        <v>185.15955350592725</v>
      </c>
      <c r="D1044" s="100">
        <f>(1/345)*30063.48*1.2*P4</f>
        <v>129.51842509070937</v>
      </c>
      <c r="E1044" s="100">
        <f>(1/689.5)*57263.82*1.2*P4</f>
        <v>123.44043525639476</v>
      </c>
      <c r="F1044" s="100">
        <f>(1/689.5)*42948.12*1.2*P4</f>
        <v>92.580876131628557</v>
      </c>
      <c r="G1044" s="101">
        <f>(1/689.5)*42948.12*1.2*P4</f>
        <v>92.580876131628557</v>
      </c>
      <c r="H1044" s="101">
        <f>(1/689.5)*42948.12*1.2*P4</f>
        <v>92.580876131628557</v>
      </c>
      <c r="I1044" s="101">
        <f>(1/689.5)*56547.78*1.2*P4</f>
        <v>121.896907610824</v>
      </c>
      <c r="J1044" s="101">
        <f>(1/689.5)*70148.46*1.2*P4</f>
        <v>151.21513784734933</v>
      </c>
      <c r="K1044" s="101">
        <f>(1/689.5)*70148.46*1.2*P4</f>
        <v>151.21513784734933</v>
      </c>
      <c r="L1044" s="102" t="s">
        <v>131</v>
      </c>
    </row>
    <row r="1045" spans="1:12" s="81" customFormat="1" ht="20.100000000000001" customHeight="1" thickBot="1" x14ac:dyDescent="0.3">
      <c r="A1045" s="327"/>
      <c r="B1045" s="323"/>
      <c r="C1045" s="100">
        <f>C1044+C1043</f>
        <v>197.18275872710203</v>
      </c>
      <c r="D1045" s="100">
        <f t="shared" ref="D1045:K1045" si="584">D1044+D1043</f>
        <v>149.2140772646224</v>
      </c>
      <c r="E1045" s="100">
        <f t="shared" si="584"/>
        <v>129.81869612595997</v>
      </c>
      <c r="F1045" s="100">
        <f t="shared" si="584"/>
        <v>95.962311954688744</v>
      </c>
      <c r="G1045" s="100">
        <f t="shared" si="584"/>
        <v>98.895596943811299</v>
      </c>
      <c r="H1045" s="100">
        <f t="shared" si="584"/>
        <v>95.962311954688744</v>
      </c>
      <c r="I1045" s="100">
        <f t="shared" si="584"/>
        <v>129.55608092481964</v>
      </c>
      <c r="J1045" s="100">
        <f t="shared" si="584"/>
        <v>156.34204140064881</v>
      </c>
      <c r="K1045" s="100">
        <f t="shared" si="584"/>
        <v>156.34204140064881</v>
      </c>
      <c r="L1045" s="102" t="s">
        <v>131</v>
      </c>
    </row>
    <row r="1046" spans="1:12" s="81" customFormat="1" ht="20.100000000000001" customHeight="1" thickBot="1" x14ac:dyDescent="0.3">
      <c r="A1046" s="328"/>
      <c r="B1046" s="259" t="s">
        <v>212</v>
      </c>
      <c r="C1046" s="271">
        <f>SUM(C1041:C1044)</f>
        <v>8098.850679135996</v>
      </c>
      <c r="D1046" s="271">
        <f t="shared" ref="D1046:K1046" si="585">SUM(D1041:D1044)</f>
        <v>10732.507200374743</v>
      </c>
      <c r="E1046" s="271">
        <f t="shared" si="585"/>
        <v>1408.3834401714787</v>
      </c>
      <c r="F1046" s="271">
        <f t="shared" si="585"/>
        <v>825.97530248305031</v>
      </c>
      <c r="G1046" s="271">
        <f t="shared" si="585"/>
        <v>1888.1133742618722</v>
      </c>
      <c r="H1046" s="271">
        <f t="shared" si="585"/>
        <v>854.487303141442</v>
      </c>
      <c r="I1046" s="271">
        <f t="shared" si="585"/>
        <v>4370.0643945888978</v>
      </c>
      <c r="J1046" s="271">
        <f t="shared" si="585"/>
        <v>4774.9529372509396</v>
      </c>
      <c r="K1046" s="271">
        <f t="shared" si="585"/>
        <v>1759.1223212300338</v>
      </c>
      <c r="L1046" s="103" t="s">
        <v>131</v>
      </c>
    </row>
    <row r="1047" spans="1:12" s="81" customFormat="1" ht="20.100000000000001" hidden="1" customHeight="1" thickBot="1" x14ac:dyDescent="0.3">
      <c r="A1047" s="327" t="s">
        <v>1081</v>
      </c>
      <c r="B1047" s="321" t="s">
        <v>102</v>
      </c>
      <c r="C1047" s="95">
        <v>7792.3508382609343</v>
      </c>
      <c r="D1047" s="95">
        <v>6493.4281651918591</v>
      </c>
      <c r="E1047" s="95">
        <v>964.1279662161985</v>
      </c>
      <c r="F1047" s="95">
        <v>660.3946227552525</v>
      </c>
      <c r="G1047" s="95">
        <v>1156.6748434334218</v>
      </c>
      <c r="H1047" s="95">
        <v>707.91685766988223</v>
      </c>
      <c r="I1047" s="95">
        <v>3821.4853782969785</v>
      </c>
      <c r="J1047" s="95">
        <v>2925.7369396549925</v>
      </c>
      <c r="K1047" s="95">
        <v>675.86462131908161</v>
      </c>
      <c r="L1047" s="96" t="s">
        <v>131</v>
      </c>
    </row>
    <row r="1048" spans="1:12" s="81" customFormat="1" ht="20.100000000000001" customHeight="1" x14ac:dyDescent="0.25">
      <c r="A1048" s="327"/>
      <c r="B1048" s="322"/>
      <c r="C1048" s="11">
        <f>C1047/13.19*19.53*1.039</f>
        <v>11987.855324807753</v>
      </c>
      <c r="D1048" s="11">
        <f t="shared" ref="D1048:K1048" si="586">D1047/13.19*19.53*1.039</f>
        <v>9989.5755494146106</v>
      </c>
      <c r="E1048" s="11">
        <f t="shared" si="586"/>
        <v>1483.2271818218535</v>
      </c>
      <c r="F1048" s="11">
        <f t="shared" si="586"/>
        <v>1015.9597994483757</v>
      </c>
      <c r="G1048" s="11">
        <f t="shared" si="586"/>
        <v>1779.4438377750312</v>
      </c>
      <c r="H1048" s="11">
        <f t="shared" si="586"/>
        <v>1089.0686325454301</v>
      </c>
      <c r="I1048" s="11">
        <f t="shared" si="586"/>
        <v>5879.0235182886627</v>
      </c>
      <c r="J1048" s="11">
        <f t="shared" si="586"/>
        <v>4500.9923037368471</v>
      </c>
      <c r="K1048" s="11">
        <f t="shared" si="586"/>
        <v>1039.7590493162829</v>
      </c>
      <c r="L1048" s="97" t="s">
        <v>131</v>
      </c>
    </row>
    <row r="1049" spans="1:12" s="81" customFormat="1" ht="20.100000000000001" customHeight="1" x14ac:dyDescent="0.25">
      <c r="A1049" s="327"/>
      <c r="B1049" s="322"/>
      <c r="C1049" s="98">
        <f>C1048*0.0214</f>
        <v>256.54010395088591</v>
      </c>
      <c r="D1049" s="98">
        <f t="shared" ref="D1049:K1049" si="587">D1048*0.0214</f>
        <v>213.77691675747266</v>
      </c>
      <c r="E1049" s="98">
        <f t="shared" si="587"/>
        <v>31.741061690987664</v>
      </c>
      <c r="F1049" s="98">
        <f t="shared" si="587"/>
        <v>21.741539708195241</v>
      </c>
      <c r="G1049" s="98">
        <f t="shared" si="587"/>
        <v>38.080098128385664</v>
      </c>
      <c r="H1049" s="98">
        <f t="shared" si="587"/>
        <v>23.306068736472202</v>
      </c>
      <c r="I1049" s="98">
        <f t="shared" si="587"/>
        <v>125.81110329137738</v>
      </c>
      <c r="J1049" s="98">
        <f t="shared" si="587"/>
        <v>96.321235299968521</v>
      </c>
      <c r="K1049" s="98">
        <f t="shared" si="587"/>
        <v>22.250843655368453</v>
      </c>
      <c r="L1049" s="99" t="s">
        <v>131</v>
      </c>
    </row>
    <row r="1050" spans="1:12" s="81" customFormat="1" ht="20.100000000000001" hidden="1" customHeight="1" x14ac:dyDescent="0.25">
      <c r="A1050" s="327"/>
      <c r="B1050" s="322"/>
      <c r="C1050" s="98">
        <f>17549/2191.4</f>
        <v>8.0081226613124024</v>
      </c>
      <c r="D1050" s="98">
        <f>13686/575</f>
        <v>23.801739130434783</v>
      </c>
      <c r="E1050" s="98">
        <f>8543/2191.4</f>
        <v>3.8984211006662406</v>
      </c>
      <c r="F1050" s="98">
        <f>26068/2/2191.4</f>
        <v>5.9477959295427576</v>
      </c>
      <c r="G1050" s="98">
        <f>24104/2191.4</f>
        <v>10.9993611389979</v>
      </c>
      <c r="H1050" s="98">
        <f>F1050</f>
        <v>5.9477959295427576</v>
      </c>
      <c r="I1050" s="98">
        <f>27050/2191.4</f>
        <v>12.343707219129323</v>
      </c>
      <c r="J1050" s="98">
        <f>5197/2191.4</f>
        <v>2.3715433056493564</v>
      </c>
      <c r="K1050" s="98">
        <f>J1050</f>
        <v>2.3715433056493564</v>
      </c>
      <c r="L1050" s="99" t="s">
        <v>131</v>
      </c>
    </row>
    <row r="1051" spans="1:12" s="81" customFormat="1" ht="20.100000000000001" hidden="1" customHeight="1" thickBot="1" x14ac:dyDescent="0.3">
      <c r="A1051" s="327"/>
      <c r="B1051" s="322"/>
      <c r="C1051" s="100">
        <f>(1/2191.4)*201552*1.2*P4</f>
        <v>136.70262487907272</v>
      </c>
      <c r="D1051" s="100">
        <f>(1/2191.4)*171319.2*1.2*P4</f>
        <v>116.19723114721181</v>
      </c>
      <c r="E1051" s="100">
        <f>(1/2191.4)*134367.66*1.2*P4</f>
        <v>91.134852647747394</v>
      </c>
      <c r="F1051" s="100">
        <f>(1/2191.4)*100776*1.2*P4</f>
        <v>68.351312439536358</v>
      </c>
      <c r="G1051" s="101">
        <f>(1/2191.4)*100776*1.2*P4</f>
        <v>68.351312439536358</v>
      </c>
      <c r="H1051" s="101">
        <f>(1/2191.4)*100776*1.2*P4</f>
        <v>68.351312439536358</v>
      </c>
      <c r="I1051" s="101">
        <f>(1/2191.4)*132688.74*1.2*P4</f>
        <v>89.996125317023953</v>
      </c>
      <c r="J1051" s="101">
        <f>(1/2191.4)*164601.48*1.2*P4</f>
        <v>111.64093819451155</v>
      </c>
      <c r="K1051" s="100">
        <f>(1/2191.4)*70543.2*1.2*P4</f>
        <v>47.845918707675445</v>
      </c>
      <c r="L1051" s="102" t="s">
        <v>131</v>
      </c>
    </row>
    <row r="1052" spans="1:12" s="81" customFormat="1" ht="20.100000000000001" customHeight="1" thickBot="1" x14ac:dyDescent="0.3">
      <c r="A1052" s="327"/>
      <c r="B1052" s="323"/>
      <c r="C1052" s="100">
        <f>C1051+C1050</f>
        <v>144.71074754038511</v>
      </c>
      <c r="D1052" s="100">
        <f t="shared" ref="D1052:K1052" si="588">D1051+D1050</f>
        <v>139.99897027764661</v>
      </c>
      <c r="E1052" s="100">
        <f t="shared" si="588"/>
        <v>95.033273748413635</v>
      </c>
      <c r="F1052" s="100">
        <f t="shared" si="588"/>
        <v>74.299108369079121</v>
      </c>
      <c r="G1052" s="100">
        <f t="shared" si="588"/>
        <v>79.350673578534256</v>
      </c>
      <c r="H1052" s="100">
        <f t="shared" si="588"/>
        <v>74.299108369079121</v>
      </c>
      <c r="I1052" s="100">
        <f t="shared" si="588"/>
        <v>102.33983253615328</v>
      </c>
      <c r="J1052" s="100">
        <f t="shared" si="588"/>
        <v>114.0124815001609</v>
      </c>
      <c r="K1052" s="100">
        <f t="shared" si="588"/>
        <v>50.217462013324798</v>
      </c>
      <c r="L1052" s="102" t="s">
        <v>131</v>
      </c>
    </row>
    <row r="1053" spans="1:12" s="81" customFormat="1" ht="20.100000000000001" customHeight="1" thickBot="1" x14ac:dyDescent="0.3">
      <c r="A1053" s="328"/>
      <c r="B1053" s="265" t="s">
        <v>212</v>
      </c>
      <c r="C1053" s="271">
        <f>SUM(C1048:C1051)</f>
        <v>12389.106176299025</v>
      </c>
      <c r="D1053" s="271">
        <f t="shared" ref="D1053:K1053" si="589">SUM(D1048:D1051)</f>
        <v>10343.35143644973</v>
      </c>
      <c r="E1053" s="271">
        <f t="shared" si="589"/>
        <v>1610.0015172612548</v>
      </c>
      <c r="F1053" s="271">
        <f t="shared" si="589"/>
        <v>1112.0004475256501</v>
      </c>
      <c r="G1053" s="271">
        <f t="shared" si="589"/>
        <v>1896.8746094819512</v>
      </c>
      <c r="H1053" s="271">
        <f t="shared" si="589"/>
        <v>1186.6738096509814</v>
      </c>
      <c r="I1053" s="271">
        <f t="shared" si="589"/>
        <v>6107.1744541161934</v>
      </c>
      <c r="J1053" s="271">
        <f t="shared" si="589"/>
        <v>4711.3260205369761</v>
      </c>
      <c r="K1053" s="271">
        <f t="shared" si="589"/>
        <v>1112.2273549849763</v>
      </c>
      <c r="L1053" s="103" t="s">
        <v>131</v>
      </c>
    </row>
    <row r="1054" spans="1:12" s="81" customFormat="1" ht="20.100000000000001" hidden="1" customHeight="1" x14ac:dyDescent="0.25">
      <c r="A1054" s="327" t="s">
        <v>1082</v>
      </c>
      <c r="B1054" s="321" t="s">
        <v>103</v>
      </c>
      <c r="C1054" s="104">
        <v>3674.0204819277105</v>
      </c>
      <c r="D1054" s="104">
        <v>7418.8342688372104</v>
      </c>
      <c r="E1054" s="104">
        <v>528.93812301838932</v>
      </c>
      <c r="F1054" s="104">
        <v>327.39786429930246</v>
      </c>
      <c r="G1054" s="104">
        <v>803.83700412175017</v>
      </c>
      <c r="H1054" s="104">
        <v>455.78866169942927</v>
      </c>
      <c r="I1054" s="104">
        <v>1212.7251448953709</v>
      </c>
      <c r="J1054" s="104">
        <v>1829.8173072289155</v>
      </c>
      <c r="K1054" s="104">
        <v>404.48884432466701</v>
      </c>
      <c r="L1054" s="105" t="s">
        <v>131</v>
      </c>
    </row>
    <row r="1055" spans="1:12" s="81" customFormat="1" ht="20.100000000000001" customHeight="1" x14ac:dyDescent="0.25">
      <c r="A1055" s="327"/>
      <c r="B1055" s="322"/>
      <c r="C1055" s="98">
        <f>C1054/13.19*19.53*1.039</f>
        <v>5652.1615763849941</v>
      </c>
      <c r="D1055" s="98">
        <f t="shared" ref="D1055:K1055" si="590">D1054/13.19*19.53*1.039</f>
        <v>11413.232507045941</v>
      </c>
      <c r="E1055" s="98">
        <f t="shared" si="590"/>
        <v>813.7253861037575</v>
      </c>
      <c r="F1055" s="98">
        <f t="shared" si="590"/>
        <v>503.67319340911502</v>
      </c>
      <c r="G1055" s="98">
        <f t="shared" si="590"/>
        <v>1236.6334512075205</v>
      </c>
      <c r="H1055" s="98">
        <f t="shared" si="590"/>
        <v>701.1912898367292</v>
      </c>
      <c r="I1055" s="98">
        <f t="shared" si="590"/>
        <v>1865.6723609491323</v>
      </c>
      <c r="J1055" s="98">
        <f t="shared" si="590"/>
        <v>2815.0150840468359</v>
      </c>
      <c r="K1055" s="98">
        <f t="shared" si="590"/>
        <v>622.27097404984966</v>
      </c>
      <c r="L1055" s="99" t="s">
        <v>131</v>
      </c>
    </row>
    <row r="1056" spans="1:12" s="81" customFormat="1" ht="20.100000000000001" customHeight="1" x14ac:dyDescent="0.25">
      <c r="A1056" s="327"/>
      <c r="B1056" s="322"/>
      <c r="C1056" s="106">
        <f>C1055*0.0214</f>
        <v>120.95625773463887</v>
      </c>
      <c r="D1056" s="106">
        <f t="shared" ref="D1056:K1056" si="591">D1055*0.0214</f>
        <v>244.24317565078312</v>
      </c>
      <c r="E1056" s="106">
        <f t="shared" si="591"/>
        <v>17.413723262620408</v>
      </c>
      <c r="F1056" s="106">
        <f t="shared" si="591"/>
        <v>10.778606338955061</v>
      </c>
      <c r="G1056" s="106">
        <f t="shared" si="591"/>
        <v>26.463955855840936</v>
      </c>
      <c r="H1056" s="106">
        <f t="shared" si="591"/>
        <v>15.005493602506004</v>
      </c>
      <c r="I1056" s="106">
        <f t="shared" si="591"/>
        <v>39.92538852431143</v>
      </c>
      <c r="J1056" s="106">
        <f t="shared" si="591"/>
        <v>60.241322798602283</v>
      </c>
      <c r="K1056" s="106">
        <f t="shared" si="591"/>
        <v>13.316598844666782</v>
      </c>
      <c r="L1056" s="97" t="s">
        <v>131</v>
      </c>
    </row>
    <row r="1057" spans="1:12" s="81" customFormat="1" ht="20.100000000000001" hidden="1" customHeight="1" x14ac:dyDescent="0.25">
      <c r="A1057" s="327"/>
      <c r="B1057" s="322"/>
      <c r="C1057" s="98">
        <f>17692/2207.8</f>
        <v>8.0134070115046647</v>
      </c>
      <c r="D1057" s="98">
        <f>13770/552</f>
        <v>24.945652173913043</v>
      </c>
      <c r="E1057" s="98">
        <f>8588/2207.8</f>
        <v>3.8898450946643717</v>
      </c>
      <c r="F1057" s="98">
        <f>26244/2/2207.8</f>
        <v>5.9434731406830323</v>
      </c>
      <c r="G1057" s="98">
        <f>24265/2207.8</f>
        <v>10.990578856780505</v>
      </c>
      <c r="H1057" s="98">
        <f>F1057</f>
        <v>5.9434731406830323</v>
      </c>
      <c r="I1057" s="98">
        <f>27233/2207.8</f>
        <v>12.334903523869915</v>
      </c>
      <c r="J1057" s="98">
        <f>5217/2207.8</f>
        <v>2.3629857776972552</v>
      </c>
      <c r="K1057" s="98">
        <f>J1057</f>
        <v>2.3629857776972552</v>
      </c>
      <c r="L1057" s="99" t="s">
        <v>131</v>
      </c>
    </row>
    <row r="1058" spans="1:12" s="81" customFormat="1" ht="20.100000000000001" hidden="1" customHeight="1" thickBot="1" x14ac:dyDescent="0.3">
      <c r="A1058" s="327"/>
      <c r="B1058" s="322"/>
      <c r="C1058" s="100">
        <f>(1/2207.8)*201818.22*1.2*P4</f>
        <v>135.86639162501365</v>
      </c>
      <c r="D1058" s="100">
        <f>(1/552)*70636.02*1.2*P4</f>
        <v>190.19475758203663</v>
      </c>
      <c r="E1058" s="100">
        <f>(1/2207.8)*134545.14*1.2*P4</f>
        <v>90.577365524689966</v>
      </c>
      <c r="F1058" s="100">
        <f>(1/2207.8)*100908.6*1.2*P4</f>
        <v>67.932852474528104</v>
      </c>
      <c r="G1058" s="101">
        <f>(1/2207.8)*100908.6*1.2*P4</f>
        <v>67.932852474528104</v>
      </c>
      <c r="H1058" s="101">
        <f>(1/2207.8)*100908.6*1.2*P4</f>
        <v>67.932852474528104</v>
      </c>
      <c r="I1058" s="101">
        <f>(1/2207.8)*132863.16*1.2*P4</f>
        <v>89.445036870788229</v>
      </c>
      <c r="J1058" s="101">
        <f>(1/2207.8)*164817.72*1.2*P4</f>
        <v>110.95722126704838</v>
      </c>
      <c r="K1058" s="100">
        <f>(1/2207.8)*70636.02*1.2*P4</f>
        <v>47.552996732169667</v>
      </c>
      <c r="L1058" s="102" t="s">
        <v>131</v>
      </c>
    </row>
    <row r="1059" spans="1:12" s="81" customFormat="1" ht="20.100000000000001" customHeight="1" thickBot="1" x14ac:dyDescent="0.3">
      <c r="A1059" s="327"/>
      <c r="B1059" s="323"/>
      <c r="C1059" s="100">
        <f>C1058+C1057</f>
        <v>143.8797986365183</v>
      </c>
      <c r="D1059" s="100">
        <f t="shared" ref="D1059:K1059" si="592">D1058+D1057</f>
        <v>215.14040975594966</v>
      </c>
      <c r="E1059" s="100">
        <f t="shared" si="592"/>
        <v>94.467210619354333</v>
      </c>
      <c r="F1059" s="100">
        <f t="shared" si="592"/>
        <v>73.87632561521113</v>
      </c>
      <c r="G1059" s="100">
        <f t="shared" si="592"/>
        <v>78.923431331308606</v>
      </c>
      <c r="H1059" s="100">
        <f t="shared" si="592"/>
        <v>73.87632561521113</v>
      </c>
      <c r="I1059" s="100">
        <f t="shared" si="592"/>
        <v>101.77994039465814</v>
      </c>
      <c r="J1059" s="100">
        <f t="shared" si="592"/>
        <v>113.32020704474564</v>
      </c>
      <c r="K1059" s="100">
        <f t="shared" si="592"/>
        <v>49.915982509866922</v>
      </c>
      <c r="L1059" s="102" t="s">
        <v>131</v>
      </c>
    </row>
    <row r="1060" spans="1:12" s="81" customFormat="1" ht="20.100000000000001" customHeight="1" thickBot="1" x14ac:dyDescent="0.3">
      <c r="A1060" s="328"/>
      <c r="B1060" s="259" t="s">
        <v>212</v>
      </c>
      <c r="C1060" s="271">
        <f>SUM(C1055:C1058)</f>
        <v>5916.9976327561508</v>
      </c>
      <c r="D1060" s="271">
        <f t="shared" ref="D1060:E1060" si="593">SUM(D1055:D1058)</f>
        <v>11872.616092452674</v>
      </c>
      <c r="E1060" s="271">
        <f t="shared" si="593"/>
        <v>925.60631998573217</v>
      </c>
      <c r="F1060" s="271">
        <f t="shared" ref="F1060:K1060" si="594">SUM(F1055:F1058)</f>
        <v>588.32812536328129</v>
      </c>
      <c r="G1060" s="271">
        <f t="shared" si="594"/>
        <v>1342.0208383946701</v>
      </c>
      <c r="H1060" s="271">
        <f t="shared" si="594"/>
        <v>790.07310905444638</v>
      </c>
      <c r="I1060" s="271">
        <f t="shared" si="594"/>
        <v>2007.3776898681022</v>
      </c>
      <c r="J1060" s="271">
        <f t="shared" si="594"/>
        <v>2988.5766138901836</v>
      </c>
      <c r="K1060" s="271">
        <f t="shared" si="594"/>
        <v>685.50355540438341</v>
      </c>
      <c r="L1060" s="103" t="s">
        <v>131</v>
      </c>
    </row>
    <row r="1061" spans="1:12" s="81" customFormat="1" ht="20.100000000000001" hidden="1" customHeight="1" thickBot="1" x14ac:dyDescent="0.3">
      <c r="A1061" s="327" t="s">
        <v>1083</v>
      </c>
      <c r="B1061" s="321" t="s">
        <v>235</v>
      </c>
      <c r="C1061" s="95">
        <v>4180.0376356811139</v>
      </c>
      <c r="D1061" s="95">
        <v>5705.6486856250003</v>
      </c>
      <c r="E1061" s="95">
        <v>638.01741315789479</v>
      </c>
      <c r="F1061" s="95">
        <v>444.43089613003099</v>
      </c>
      <c r="G1061" s="95">
        <v>1038.0499857585141</v>
      </c>
      <c r="H1061" s="95">
        <v>518.50612383900932</v>
      </c>
      <c r="I1061" s="95">
        <v>1648.8423113777092</v>
      </c>
      <c r="J1061" s="95">
        <v>2013.4128325077402</v>
      </c>
      <c r="K1061" s="95">
        <v>459.02248606811145</v>
      </c>
      <c r="L1061" s="96" t="s">
        <v>131</v>
      </c>
    </row>
    <row r="1062" spans="1:12" s="81" customFormat="1" ht="20.100000000000001" customHeight="1" x14ac:dyDescent="0.25">
      <c r="A1062" s="327"/>
      <c r="B1062" s="322"/>
      <c r="C1062" s="11">
        <f>C1061/14.06*19.53*1.039</f>
        <v>6032.7129652077801</v>
      </c>
      <c r="D1062" s="11">
        <f t="shared" ref="D1062:K1062" si="595">D1061/14.06*19.53*1.039</f>
        <v>8234.5049974847971</v>
      </c>
      <c r="E1062" s="11">
        <f t="shared" si="595"/>
        <v>920.79934580751467</v>
      </c>
      <c r="F1062" s="11">
        <f t="shared" si="595"/>
        <v>641.41145676208146</v>
      </c>
      <c r="G1062" s="11">
        <f t="shared" si="595"/>
        <v>1498.1342641903602</v>
      </c>
      <c r="H1062" s="11">
        <f t="shared" si="595"/>
        <v>748.31829003700636</v>
      </c>
      <c r="I1062" s="11">
        <f t="shared" si="595"/>
        <v>2379.6418253565948</v>
      </c>
      <c r="J1062" s="11">
        <f t="shared" si="595"/>
        <v>2905.7972098870796</v>
      </c>
      <c r="K1062" s="11">
        <f t="shared" si="595"/>
        <v>662.47032787153023</v>
      </c>
      <c r="L1062" s="97" t="s">
        <v>131</v>
      </c>
    </row>
    <row r="1063" spans="1:12" s="81" customFormat="1" ht="20.100000000000001" customHeight="1" x14ac:dyDescent="0.25">
      <c r="A1063" s="327"/>
      <c r="B1063" s="322"/>
      <c r="C1063" s="98">
        <f>C1061*0.0214</f>
        <v>89.452805403575837</v>
      </c>
      <c r="D1063" s="98">
        <f t="shared" ref="D1063:K1063" si="596">D1061*0.0214</f>
        <v>122.100881872375</v>
      </c>
      <c r="E1063" s="98">
        <f t="shared" si="596"/>
        <v>13.653572641578949</v>
      </c>
      <c r="F1063" s="98">
        <f t="shared" si="596"/>
        <v>9.5108211771826632</v>
      </c>
      <c r="G1063" s="98">
        <f t="shared" si="596"/>
        <v>22.214269695232201</v>
      </c>
      <c r="H1063" s="98">
        <f t="shared" si="596"/>
        <v>11.096031050154799</v>
      </c>
      <c r="I1063" s="98">
        <f t="shared" si="596"/>
        <v>35.285225463482973</v>
      </c>
      <c r="J1063" s="98">
        <f t="shared" si="596"/>
        <v>43.087034615665637</v>
      </c>
      <c r="K1063" s="98">
        <f t="shared" si="596"/>
        <v>9.823081201857585</v>
      </c>
      <c r="L1063" s="99" t="s">
        <v>131</v>
      </c>
    </row>
    <row r="1064" spans="1:12" s="81" customFormat="1" ht="20.100000000000001" hidden="1" customHeight="1" x14ac:dyDescent="0.25">
      <c r="A1064" s="327"/>
      <c r="B1064" s="322"/>
      <c r="C1064" s="98">
        <f>11394/1292</f>
        <v>8.8188854489164079</v>
      </c>
      <c r="D1064" s="98">
        <f>9037/340</f>
        <v>26.579411764705881</v>
      </c>
      <c r="E1064" s="98">
        <f>6063/1292</f>
        <v>4.6927244582043341</v>
      </c>
      <c r="F1064" s="98">
        <f>10605/2/1292</f>
        <v>4.1041021671826625</v>
      </c>
      <c r="G1064" s="98">
        <f>8290/1292</f>
        <v>6.4164086687306501</v>
      </c>
      <c r="H1064" s="98">
        <f>F1064</f>
        <v>4.1041021671826625</v>
      </c>
      <c r="I1064" s="98">
        <f>11184/1292</f>
        <v>8.6563467492260067</v>
      </c>
      <c r="J1064" s="98">
        <f>4091/1292</f>
        <v>3.1664086687306501</v>
      </c>
      <c r="K1064" s="98">
        <f>J1064</f>
        <v>3.1664086687306501</v>
      </c>
      <c r="L1064" s="99" t="s">
        <v>131</v>
      </c>
    </row>
    <row r="1065" spans="1:12" s="81" customFormat="1" ht="20.100000000000001" hidden="1" customHeight="1" thickBot="1" x14ac:dyDescent="0.3">
      <c r="A1065" s="327"/>
      <c r="B1065" s="322"/>
      <c r="C1065" s="100">
        <f>(1/1292)*186989.46*1.2*P4</f>
        <v>215.1126808778393</v>
      </c>
      <c r="D1065" s="100">
        <f>(1/1292)*158940.48*1.2*P4</f>
        <v>182.84513337174513</v>
      </c>
      <c r="E1065" s="100">
        <f>(1/1292)*124659.3*1.2*P4</f>
        <v>143.40806278254846</v>
      </c>
      <c r="F1065" s="100">
        <f>(1/1292)*93494.22*1.2*P4</f>
        <v>107.55575373490302</v>
      </c>
      <c r="G1065" s="100">
        <f>(1/1292)*93494.22*1.2*P4</f>
        <v>107.55575373490302</v>
      </c>
      <c r="H1065" s="100">
        <f>(1/1292)*93494.22*1.2*P4</f>
        <v>107.55575373490302</v>
      </c>
      <c r="I1065" s="101">
        <f>(1/1292)*123101.76*1.2*P4</f>
        <v>141.61626871578946</v>
      </c>
      <c r="J1065" s="101">
        <f>(1/1292)*152708.28*1.2*P4</f>
        <v>175.67561028864264</v>
      </c>
      <c r="K1065" s="100">
        <f>(1/1292)*65446.26*1.2*P4</f>
        <v>75.289379636842099</v>
      </c>
      <c r="L1065" s="102" t="s">
        <v>131</v>
      </c>
    </row>
    <row r="1066" spans="1:12" s="81" customFormat="1" ht="20.100000000000001" customHeight="1" thickBot="1" x14ac:dyDescent="0.3">
      <c r="A1066" s="327"/>
      <c r="B1066" s="323"/>
      <c r="C1066" s="100">
        <f>C1065+C1064</f>
        <v>223.9315663267557</v>
      </c>
      <c r="D1066" s="100">
        <f t="shared" ref="D1066:K1066" si="597">D1065+D1064</f>
        <v>209.424545136451</v>
      </c>
      <c r="E1066" s="100">
        <f t="shared" si="597"/>
        <v>148.10078724075279</v>
      </c>
      <c r="F1066" s="100">
        <f t="shared" si="597"/>
        <v>111.65985590208568</v>
      </c>
      <c r="G1066" s="100">
        <f t="shared" si="597"/>
        <v>113.97216240363367</v>
      </c>
      <c r="H1066" s="100">
        <f t="shared" si="597"/>
        <v>111.65985590208568</v>
      </c>
      <c r="I1066" s="100">
        <f t="shared" si="597"/>
        <v>150.27261546501546</v>
      </c>
      <c r="J1066" s="100">
        <f t="shared" si="597"/>
        <v>178.84201895737328</v>
      </c>
      <c r="K1066" s="100">
        <f t="shared" si="597"/>
        <v>78.455788305572753</v>
      </c>
      <c r="L1066" s="102" t="s">
        <v>131</v>
      </c>
    </row>
    <row r="1067" spans="1:12" s="81" customFormat="1" ht="20.100000000000001" customHeight="1" thickBot="1" x14ac:dyDescent="0.3">
      <c r="A1067" s="328"/>
      <c r="B1067" s="265" t="s">
        <v>212</v>
      </c>
      <c r="C1067" s="271">
        <f>SUM(C1062:C1065)</f>
        <v>6346.0973369381109</v>
      </c>
      <c r="D1067" s="271">
        <f t="shared" ref="D1067:K1067" si="598">SUM(D1062:D1065)</f>
        <v>8566.0304244936233</v>
      </c>
      <c r="E1067" s="271">
        <f t="shared" si="598"/>
        <v>1082.5537056898465</v>
      </c>
      <c r="F1067" s="271">
        <f t="shared" si="598"/>
        <v>762.58213384134979</v>
      </c>
      <c r="G1067" s="271">
        <f t="shared" si="598"/>
        <v>1634.3206962892259</v>
      </c>
      <c r="H1067" s="271">
        <f t="shared" si="598"/>
        <v>871.07417698924678</v>
      </c>
      <c r="I1067" s="271">
        <f t="shared" si="598"/>
        <v>2565.1996662850934</v>
      </c>
      <c r="J1067" s="271">
        <f t="shared" si="598"/>
        <v>3127.7262634601184</v>
      </c>
      <c r="K1067" s="271">
        <f t="shared" si="598"/>
        <v>750.74919737896062</v>
      </c>
      <c r="L1067" s="103" t="s">
        <v>131</v>
      </c>
    </row>
    <row r="1068" spans="1:12" s="81" customFormat="1" ht="20.100000000000001" hidden="1" customHeight="1" thickBot="1" x14ac:dyDescent="0.3">
      <c r="A1068" s="327" t="s">
        <v>1084</v>
      </c>
      <c r="B1068" s="321" t="s">
        <v>104</v>
      </c>
      <c r="C1068" s="95">
        <v>3946.7944281759783</v>
      </c>
      <c r="D1068" s="95">
        <v>4375.2982808888892</v>
      </c>
      <c r="E1068" s="95">
        <v>489.1291909245565</v>
      </c>
      <c r="F1068" s="95">
        <v>334.66039951060066</v>
      </c>
      <c r="G1068" s="95">
        <v>590.0462745501286</v>
      </c>
      <c r="H1068" s="95">
        <v>359.8761392609909</v>
      </c>
      <c r="I1068" s="95">
        <v>1930.6002216639401</v>
      </c>
      <c r="J1068" s="95">
        <v>1486.7218622014377</v>
      </c>
      <c r="K1068" s="95">
        <v>343.33331010951986</v>
      </c>
      <c r="L1068" s="96" t="s">
        <v>131</v>
      </c>
    </row>
    <row r="1069" spans="1:12" s="81" customFormat="1" ht="20.100000000000001" customHeight="1" x14ac:dyDescent="0.25">
      <c r="A1069" s="327"/>
      <c r="B1069" s="322"/>
      <c r="C1069" s="11">
        <f t="shared" ref="C1069:K1069" si="599">C1068/13.19*19.53*1.039</f>
        <v>6071.8006136759404</v>
      </c>
      <c r="D1069" s="11">
        <f t="shared" si="599"/>
        <v>6731.0165934317392</v>
      </c>
      <c r="E1069" s="11">
        <f t="shared" si="599"/>
        <v>752.48279981865778</v>
      </c>
      <c r="F1069" s="11">
        <f t="shared" si="599"/>
        <v>514.84597338417518</v>
      </c>
      <c r="G1069" s="11">
        <f t="shared" si="599"/>
        <v>907.73497254743052</v>
      </c>
      <c r="H1069" s="11">
        <f t="shared" si="599"/>
        <v>553.63820005747311</v>
      </c>
      <c r="I1069" s="11">
        <f t="shared" si="599"/>
        <v>2970.0608491229364</v>
      </c>
      <c r="J1069" s="11">
        <f t="shared" si="599"/>
        <v>2287.1925253659624</v>
      </c>
      <c r="K1069" s="11">
        <f t="shared" si="599"/>
        <v>528.1884934609584</v>
      </c>
      <c r="L1069" s="97" t="s">
        <v>131</v>
      </c>
    </row>
    <row r="1070" spans="1:12" s="81" customFormat="1" ht="20.100000000000001" customHeight="1" x14ac:dyDescent="0.25">
      <c r="A1070" s="327"/>
      <c r="B1070" s="322"/>
      <c r="C1070" s="98">
        <f>C1069*0.0214</f>
        <v>129.93653313266512</v>
      </c>
      <c r="D1070" s="98">
        <f t="shared" ref="D1070:K1070" si="600">D1069*0.0214</f>
        <v>144.04375509943921</v>
      </c>
      <c r="E1070" s="98">
        <f t="shared" si="600"/>
        <v>16.103131916119274</v>
      </c>
      <c r="F1070" s="98">
        <f t="shared" si="600"/>
        <v>11.017703830421349</v>
      </c>
      <c r="G1070" s="98">
        <f t="shared" si="600"/>
        <v>19.425528412515011</v>
      </c>
      <c r="H1070" s="98">
        <f t="shared" si="600"/>
        <v>11.847857481229925</v>
      </c>
      <c r="I1070" s="98">
        <f t="shared" si="600"/>
        <v>63.559302171230833</v>
      </c>
      <c r="J1070" s="98">
        <f t="shared" si="600"/>
        <v>48.945920042831595</v>
      </c>
      <c r="K1070" s="98">
        <f t="shared" si="600"/>
        <v>11.30323376006451</v>
      </c>
      <c r="L1070" s="99" t="s">
        <v>131</v>
      </c>
    </row>
    <row r="1071" spans="1:12" s="81" customFormat="1" ht="20.100000000000001" hidden="1" customHeight="1" x14ac:dyDescent="0.25">
      <c r="A1071" s="327"/>
      <c r="B1071" s="322"/>
      <c r="C1071" s="98">
        <f>28717/4279</f>
        <v>6.711147464360832</v>
      </c>
      <c r="D1071" s="98">
        <f>21948/856</f>
        <v>25.640186915887849</v>
      </c>
      <c r="E1071" s="98">
        <f>14300/4279</f>
        <v>3.3419023136246788</v>
      </c>
      <c r="F1071" s="98">
        <f>61941/2/4279</f>
        <v>7.2377892030848328</v>
      </c>
      <c r="G1071" s="98">
        <f>56189/4279</f>
        <v>13.131339097920074</v>
      </c>
      <c r="H1071" s="98">
        <f>F1071</f>
        <v>7.2377892030848328</v>
      </c>
      <c r="I1071" s="98">
        <f>65776/4279</f>
        <v>15.371815844823557</v>
      </c>
      <c r="J1071" s="98">
        <f>7189/4279</f>
        <v>1.6800654358494975</v>
      </c>
      <c r="K1071" s="98">
        <f>J1071</f>
        <v>1.6800654358494975</v>
      </c>
      <c r="L1071" s="99" t="s">
        <v>131</v>
      </c>
    </row>
    <row r="1072" spans="1:12" s="81" customFormat="1" ht="20.100000000000001" hidden="1" customHeight="1" thickBot="1" x14ac:dyDescent="0.3">
      <c r="A1072" s="327"/>
      <c r="B1072" s="322"/>
      <c r="C1072" s="100">
        <f>(1/4279)*297629.88*1.2*P4</f>
        <v>103.38216951572059</v>
      </c>
      <c r="D1072" s="100">
        <f>(1/856)*104170.56*1.2*P4</f>
        <v>180.87670301347757</v>
      </c>
      <c r="E1072" s="100">
        <f>(1/4279)*198420.6*1.2*P4</f>
        <v>68.921682542797754</v>
      </c>
      <c r="F1072" s="100">
        <f>(1/4279)*148814.94*1.2*P4</f>
        <v>51.691084757860295</v>
      </c>
      <c r="G1072" s="101">
        <f>(1/4279)*148814.94*1.2*P4</f>
        <v>51.691084757860295</v>
      </c>
      <c r="H1072" s="101">
        <f>(1/4279)*148814.94*1.2*P4</f>
        <v>51.691084757860295</v>
      </c>
      <c r="I1072" s="101">
        <f>(1/4279)*195939.96*1.2*P4</f>
        <v>68.060028649084259</v>
      </c>
      <c r="J1072" s="101">
        <f>(1/4279)*243064.98*1.2*P4</f>
        <v>84.428972540308237</v>
      </c>
      <c r="K1072" s="100">
        <f>(1/4279)*104170.56*1.2*P4</f>
        <v>36.183794760349805</v>
      </c>
      <c r="L1072" s="102" t="s">
        <v>131</v>
      </c>
    </row>
    <row r="1073" spans="1:12" s="81" customFormat="1" ht="20.100000000000001" customHeight="1" thickBot="1" x14ac:dyDescent="0.3">
      <c r="A1073" s="327"/>
      <c r="B1073" s="323"/>
      <c r="C1073" s="100">
        <f>C1072+C1071</f>
        <v>110.09331698008143</v>
      </c>
      <c r="D1073" s="100">
        <f t="shared" ref="D1073:K1073" si="601">D1072+D1071</f>
        <v>206.51688992936542</v>
      </c>
      <c r="E1073" s="100">
        <f t="shared" si="601"/>
        <v>72.263584856422426</v>
      </c>
      <c r="F1073" s="100">
        <f t="shared" si="601"/>
        <v>58.928873960945126</v>
      </c>
      <c r="G1073" s="100">
        <f t="shared" si="601"/>
        <v>64.822423855780372</v>
      </c>
      <c r="H1073" s="100">
        <f t="shared" si="601"/>
        <v>58.928873960945126</v>
      </c>
      <c r="I1073" s="100">
        <f t="shared" si="601"/>
        <v>83.431844493907818</v>
      </c>
      <c r="J1073" s="100">
        <f t="shared" si="601"/>
        <v>86.109037976157737</v>
      </c>
      <c r="K1073" s="100">
        <f t="shared" si="601"/>
        <v>37.863860196199305</v>
      </c>
      <c r="L1073" s="102" t="s">
        <v>131</v>
      </c>
    </row>
    <row r="1074" spans="1:12" s="81" customFormat="1" ht="20.100000000000001" customHeight="1" thickBot="1" x14ac:dyDescent="0.3">
      <c r="A1074" s="328"/>
      <c r="B1074" s="265" t="s">
        <v>212</v>
      </c>
      <c r="C1074" s="271">
        <f>SUM(C1069:C1072)</f>
        <v>6311.8304637886868</v>
      </c>
      <c r="D1074" s="271">
        <f t="shared" ref="D1074:K1074" si="602">SUM(D1069:D1072)</f>
        <v>7081.5772384605443</v>
      </c>
      <c r="E1074" s="271">
        <f t="shared" si="602"/>
        <v>840.84951659119952</v>
      </c>
      <c r="F1074" s="271">
        <f t="shared" si="602"/>
        <v>584.79255117554169</v>
      </c>
      <c r="G1074" s="271">
        <f t="shared" si="602"/>
        <v>991.98292481572594</v>
      </c>
      <c r="H1074" s="271">
        <f t="shared" si="602"/>
        <v>624.41493149964811</v>
      </c>
      <c r="I1074" s="271">
        <f t="shared" si="602"/>
        <v>3117.0519957880751</v>
      </c>
      <c r="J1074" s="271">
        <f t="shared" si="602"/>
        <v>2422.2474833849515</v>
      </c>
      <c r="K1074" s="271">
        <f t="shared" si="602"/>
        <v>577.35558741722218</v>
      </c>
      <c r="L1074" s="103" t="s">
        <v>131</v>
      </c>
    </row>
    <row r="1075" spans="1:12" s="81" customFormat="1" ht="20.100000000000001" hidden="1" customHeight="1" thickBot="1" x14ac:dyDescent="0.3">
      <c r="A1075" s="327" t="s">
        <v>1085</v>
      </c>
      <c r="B1075" s="321" t="s">
        <v>105</v>
      </c>
      <c r="C1075" s="95">
        <v>4159.8406835448413</v>
      </c>
      <c r="D1075" s="95">
        <v>5670.2808834268199</v>
      </c>
      <c r="E1075" s="95">
        <v>692.70182317393517</v>
      </c>
      <c r="F1075" s="95">
        <v>396.77006759493133</v>
      </c>
      <c r="G1075" s="95">
        <v>908.79774952355012</v>
      </c>
      <c r="H1075" s="95">
        <v>304.67200551741985</v>
      </c>
      <c r="I1075" s="95">
        <v>2056.6079295534987</v>
      </c>
      <c r="J1075" s="95">
        <v>2599.8014107677645</v>
      </c>
      <c r="K1075" s="95">
        <v>604.48310834450058</v>
      </c>
      <c r="L1075" s="96" t="s">
        <v>131</v>
      </c>
    </row>
    <row r="1076" spans="1:12" s="81" customFormat="1" ht="20.100000000000001" customHeight="1" x14ac:dyDescent="0.25">
      <c r="A1076" s="327"/>
      <c r="B1076" s="322"/>
      <c r="C1076" s="11">
        <f>C1075/14.06*19.53*1.039</f>
        <v>6003.5643245424144</v>
      </c>
      <c r="D1076" s="11">
        <f t="shared" ref="D1076:K1076" si="603">D1075/14.06*19.53*1.039</f>
        <v>8183.4614860459096</v>
      </c>
      <c r="E1076" s="11">
        <f t="shared" si="603"/>
        <v>999.72096758491057</v>
      </c>
      <c r="F1076" s="11">
        <f t="shared" si="603"/>
        <v>572.62640665106971</v>
      </c>
      <c r="G1076" s="11">
        <f t="shared" si="603"/>
        <v>1311.5948812286297</v>
      </c>
      <c r="H1076" s="11">
        <f t="shared" si="603"/>
        <v>439.70866246071569</v>
      </c>
      <c r="I1076" s="11">
        <f t="shared" si="603"/>
        <v>2968.1372280144265</v>
      </c>
      <c r="J1076" s="11">
        <f t="shared" si="603"/>
        <v>3752.0848003438064</v>
      </c>
      <c r="K1076" s="11">
        <f t="shared" si="603"/>
        <v>872.40197404700234</v>
      </c>
      <c r="L1076" s="97" t="s">
        <v>131</v>
      </c>
    </row>
    <row r="1077" spans="1:12" s="81" customFormat="1" ht="20.100000000000001" customHeight="1" x14ac:dyDescent="0.25">
      <c r="A1077" s="327"/>
      <c r="B1077" s="322"/>
      <c r="C1077" s="98">
        <f>C1075*0.0214</f>
        <v>89.020590627859605</v>
      </c>
      <c r="D1077" s="98">
        <f t="shared" ref="D1077:K1077" si="604">D1075*0.0214</f>
        <v>121.34401090533395</v>
      </c>
      <c r="E1077" s="98">
        <f t="shared" si="604"/>
        <v>14.823819015922211</v>
      </c>
      <c r="F1077" s="98">
        <f t="shared" si="604"/>
        <v>8.4908794465315296</v>
      </c>
      <c r="G1077" s="98">
        <f t="shared" si="604"/>
        <v>19.448271839803972</v>
      </c>
      <c r="H1077" s="98">
        <f t="shared" si="604"/>
        <v>6.5199809180727843</v>
      </c>
      <c r="I1077" s="98">
        <f t="shared" si="604"/>
        <v>44.011409692444872</v>
      </c>
      <c r="J1077" s="98">
        <f t="shared" si="604"/>
        <v>55.635750190430159</v>
      </c>
      <c r="K1077" s="98">
        <f t="shared" si="604"/>
        <v>12.935938518572312</v>
      </c>
      <c r="L1077" s="99" t="s">
        <v>131</v>
      </c>
    </row>
    <row r="1078" spans="1:12" s="81" customFormat="1" ht="20.100000000000001" hidden="1" customHeight="1" x14ac:dyDescent="0.25">
      <c r="A1078" s="327"/>
      <c r="B1078" s="322"/>
      <c r="C1078" s="98">
        <f>13728/1469.2</f>
        <v>9.3438606044105637</v>
      </c>
      <c r="D1078" s="98">
        <f>10829/515</f>
        <v>21.027184466019417</v>
      </c>
      <c r="E1078" s="98">
        <f>6551/1469.2</f>
        <v>4.4588891913966782</v>
      </c>
      <c r="F1078" s="98">
        <f>11717/2/1469.2</f>
        <v>3.9875442417642253</v>
      </c>
      <c r="G1078" s="98">
        <f>8425/1469.2</f>
        <v>5.734413286142118</v>
      </c>
      <c r="H1078" s="98">
        <f>F1078</f>
        <v>3.9875442417642253</v>
      </c>
      <c r="I1078" s="98">
        <f>12375/1469.2</f>
        <v>8.4229512659950991</v>
      </c>
      <c r="J1078" s="98">
        <f>4508/1469.2</f>
        <v>3.0683365096651238</v>
      </c>
      <c r="K1078" s="98">
        <f>J1078</f>
        <v>3.0683365096651238</v>
      </c>
      <c r="L1078" s="99" t="s">
        <v>131</v>
      </c>
    </row>
    <row r="1079" spans="1:12" s="81" customFormat="1" ht="20.100000000000001" hidden="1" customHeight="1" thickBot="1" x14ac:dyDescent="0.3">
      <c r="A1079" s="327"/>
      <c r="B1079" s="322"/>
      <c r="C1079" s="100">
        <f>(1/1469.2)*135885.42*1.2*P4</f>
        <v>137.46854638071559</v>
      </c>
      <c r="D1079" s="100">
        <f>(1/1369.2)*115502.76*1.2*P4</f>
        <v>125.38248429567781</v>
      </c>
      <c r="E1079" s="100">
        <f>(1/1469.2)*90590.28*1.2*P4</f>
        <v>91.645697587143715</v>
      </c>
      <c r="F1079" s="100">
        <f>(1/1469.2)*67943.22*1.2*P4</f>
        <v>68.734789132087627</v>
      </c>
      <c r="G1079" s="101">
        <f>(1/1469.2)*67943.22*1.2*P4</f>
        <v>68.734789132087627</v>
      </c>
      <c r="H1079" s="101">
        <f>(1/1469.2)*67943.22*1.2*P4</f>
        <v>68.734789132087627</v>
      </c>
      <c r="I1079" s="101">
        <f>(1/1469.2)*89458.08*1.2*P4</f>
        <v>90.500306946909859</v>
      </c>
      <c r="J1079" s="101">
        <f>(1/1469.2)*110973.96*1.2*P4</f>
        <v>112.26685664519178</v>
      </c>
      <c r="K1079" s="100">
        <f>(1/1469.2)*47560.56*1.2*P4</f>
        <v>48.114661957499237</v>
      </c>
      <c r="L1079" s="102" t="s">
        <v>131</v>
      </c>
    </row>
    <row r="1080" spans="1:12" s="81" customFormat="1" ht="20.100000000000001" customHeight="1" thickBot="1" x14ac:dyDescent="0.3">
      <c r="A1080" s="327"/>
      <c r="B1080" s="323"/>
      <c r="C1080" s="100">
        <f>C1079+C1078</f>
        <v>146.81240698512616</v>
      </c>
      <c r="D1080" s="100">
        <f t="shared" ref="D1080:K1080" si="605">D1079+D1078</f>
        <v>146.40966876169722</v>
      </c>
      <c r="E1080" s="100">
        <f t="shared" si="605"/>
        <v>96.104586778540394</v>
      </c>
      <c r="F1080" s="100">
        <f t="shared" si="605"/>
        <v>72.722333373851853</v>
      </c>
      <c r="G1080" s="100">
        <f t="shared" si="605"/>
        <v>74.469202418229742</v>
      </c>
      <c r="H1080" s="100">
        <f t="shared" si="605"/>
        <v>72.722333373851853</v>
      </c>
      <c r="I1080" s="100">
        <f t="shared" si="605"/>
        <v>98.923258212904955</v>
      </c>
      <c r="J1080" s="100">
        <f t="shared" si="605"/>
        <v>115.33519315485691</v>
      </c>
      <c r="K1080" s="100">
        <f t="shared" si="605"/>
        <v>51.18299846716436</v>
      </c>
      <c r="L1080" s="102" t="s">
        <v>131</v>
      </c>
    </row>
    <row r="1081" spans="1:12" s="81" customFormat="1" ht="20.100000000000001" customHeight="1" thickBot="1" x14ac:dyDescent="0.3">
      <c r="A1081" s="328"/>
      <c r="B1081" s="265" t="s">
        <v>212</v>
      </c>
      <c r="C1081" s="271">
        <f>SUM(C1076:C1079)</f>
        <v>6239.3973221553997</v>
      </c>
      <c r="D1081" s="271">
        <f t="shared" ref="D1081:K1081" si="606">SUM(D1076:D1079)</f>
        <v>8451.2151657129416</v>
      </c>
      <c r="E1081" s="271">
        <f t="shared" si="606"/>
        <v>1110.6493733793732</v>
      </c>
      <c r="F1081" s="271">
        <f t="shared" si="606"/>
        <v>653.83961947145303</v>
      </c>
      <c r="G1081" s="271">
        <f t="shared" si="606"/>
        <v>1405.5123554866634</v>
      </c>
      <c r="H1081" s="271">
        <f t="shared" si="606"/>
        <v>518.95097675264037</v>
      </c>
      <c r="I1081" s="271">
        <f t="shared" si="606"/>
        <v>3111.0718959197761</v>
      </c>
      <c r="J1081" s="271">
        <f t="shared" si="606"/>
        <v>3923.0557436890936</v>
      </c>
      <c r="K1081" s="271">
        <f t="shared" si="606"/>
        <v>936.52091103273904</v>
      </c>
      <c r="L1081" s="103" t="s">
        <v>131</v>
      </c>
    </row>
    <row r="1082" spans="1:12" s="81" customFormat="1" ht="20.100000000000001" hidden="1" customHeight="1" thickBot="1" x14ac:dyDescent="0.3">
      <c r="A1082" s="327" t="s">
        <v>1086</v>
      </c>
      <c r="B1082" s="321" t="s">
        <v>106</v>
      </c>
      <c r="C1082" s="95">
        <v>4180.0376356811139</v>
      </c>
      <c r="D1082" s="95">
        <v>5705.6486856250003</v>
      </c>
      <c r="E1082" s="95">
        <v>638.01741315789479</v>
      </c>
      <c r="F1082" s="95">
        <v>444.43089613003099</v>
      </c>
      <c r="G1082" s="95">
        <v>1038.0499857585141</v>
      </c>
      <c r="H1082" s="95">
        <v>518.50612383900932</v>
      </c>
      <c r="I1082" s="95">
        <v>1648.8423113777092</v>
      </c>
      <c r="J1082" s="95">
        <v>2013.4128325077402</v>
      </c>
      <c r="K1082" s="95">
        <v>459.02248606811145</v>
      </c>
      <c r="L1082" s="96" t="s">
        <v>131</v>
      </c>
    </row>
    <row r="1083" spans="1:12" s="81" customFormat="1" ht="20.100000000000001" customHeight="1" x14ac:dyDescent="0.25">
      <c r="A1083" s="327"/>
      <c r="B1083" s="322"/>
      <c r="C1083" s="11">
        <f>C1082/14.06*19.53*1.039</f>
        <v>6032.7129652077801</v>
      </c>
      <c r="D1083" s="11">
        <f t="shared" ref="D1083:K1083" si="607">D1082/14.06*19.53*1.039</f>
        <v>8234.5049974847971</v>
      </c>
      <c r="E1083" s="11">
        <f t="shared" si="607"/>
        <v>920.79934580751467</v>
      </c>
      <c r="F1083" s="11">
        <f t="shared" si="607"/>
        <v>641.41145676208146</v>
      </c>
      <c r="G1083" s="11">
        <f t="shared" si="607"/>
        <v>1498.1342641903602</v>
      </c>
      <c r="H1083" s="11">
        <f t="shared" si="607"/>
        <v>748.31829003700636</v>
      </c>
      <c r="I1083" s="11">
        <f t="shared" si="607"/>
        <v>2379.6418253565948</v>
      </c>
      <c r="J1083" s="11">
        <f t="shared" si="607"/>
        <v>2905.7972098870796</v>
      </c>
      <c r="K1083" s="11">
        <f t="shared" si="607"/>
        <v>662.47032787153023</v>
      </c>
      <c r="L1083" s="97" t="s">
        <v>131</v>
      </c>
    </row>
    <row r="1084" spans="1:12" s="81" customFormat="1" ht="20.100000000000001" customHeight="1" x14ac:dyDescent="0.25">
      <c r="A1084" s="327"/>
      <c r="B1084" s="322"/>
      <c r="C1084" s="98">
        <f>C1082*0.0214</f>
        <v>89.452805403575837</v>
      </c>
      <c r="D1084" s="98">
        <f t="shared" ref="D1084:K1084" si="608">D1082*0.0214</f>
        <v>122.100881872375</v>
      </c>
      <c r="E1084" s="98">
        <f t="shared" si="608"/>
        <v>13.653572641578949</v>
      </c>
      <c r="F1084" s="98">
        <f t="shared" si="608"/>
        <v>9.5108211771826632</v>
      </c>
      <c r="G1084" s="98">
        <f t="shared" si="608"/>
        <v>22.214269695232201</v>
      </c>
      <c r="H1084" s="98">
        <f t="shared" si="608"/>
        <v>11.096031050154799</v>
      </c>
      <c r="I1084" s="98">
        <f t="shared" si="608"/>
        <v>35.285225463482973</v>
      </c>
      <c r="J1084" s="98">
        <f t="shared" si="608"/>
        <v>43.087034615665637</v>
      </c>
      <c r="K1084" s="98">
        <f t="shared" si="608"/>
        <v>9.823081201857585</v>
      </c>
      <c r="L1084" s="99" t="s">
        <v>131</v>
      </c>
    </row>
    <row r="1085" spans="1:12" s="81" customFormat="1" ht="20.100000000000001" hidden="1" customHeight="1" x14ac:dyDescent="0.25">
      <c r="A1085" s="327"/>
      <c r="B1085" s="322"/>
      <c r="C1085" s="98">
        <f>11394/1292</f>
        <v>8.8188854489164079</v>
      </c>
      <c r="D1085" s="98">
        <f>9037/340</f>
        <v>26.579411764705881</v>
      </c>
      <c r="E1085" s="98">
        <f>6063/1292</f>
        <v>4.6927244582043341</v>
      </c>
      <c r="F1085" s="98">
        <f>10605/2/1292</f>
        <v>4.1041021671826625</v>
      </c>
      <c r="G1085" s="98">
        <f>8290/1292</f>
        <v>6.4164086687306501</v>
      </c>
      <c r="H1085" s="98">
        <f>F1085</f>
        <v>4.1041021671826625</v>
      </c>
      <c r="I1085" s="98">
        <f>11184/1292</f>
        <v>8.6563467492260067</v>
      </c>
      <c r="J1085" s="98">
        <f>4091/1292</f>
        <v>3.1664086687306501</v>
      </c>
      <c r="K1085" s="98">
        <f>J1085</f>
        <v>3.1664086687306501</v>
      </c>
      <c r="L1085" s="99" t="s">
        <v>131</v>
      </c>
    </row>
    <row r="1086" spans="1:12" s="81" customFormat="1" ht="20.100000000000001" hidden="1" customHeight="1" thickBot="1" x14ac:dyDescent="0.3">
      <c r="A1086" s="327"/>
      <c r="B1086" s="322"/>
      <c r="C1086" s="100">
        <f>(1/1292)*186989.46*1.2*P4</f>
        <v>215.1126808778393</v>
      </c>
      <c r="D1086" s="100">
        <f>(1/1292)*158940.48*1.2*P4</f>
        <v>182.84513337174513</v>
      </c>
      <c r="E1086" s="100">
        <f>(1/1292)*124659.3*1.2*P4</f>
        <v>143.40806278254846</v>
      </c>
      <c r="F1086" s="100">
        <f>(1/1292)*93494.22*1.2*P4</f>
        <v>107.55575373490302</v>
      </c>
      <c r="G1086" s="100">
        <f>(1/1292)*93494.22*1.2*P4</f>
        <v>107.55575373490302</v>
      </c>
      <c r="H1086" s="100">
        <f>(1/1292)*93494.22*1.2*P4</f>
        <v>107.55575373490302</v>
      </c>
      <c r="I1086" s="101">
        <f>(1/1292)*123101.76*1.2*P4</f>
        <v>141.61626871578946</v>
      </c>
      <c r="J1086" s="101">
        <f>(1/1292)*152708.28*1.2*P4</f>
        <v>175.67561028864264</v>
      </c>
      <c r="K1086" s="100">
        <f>(1/1292)*65446.26*1.2*P4</f>
        <v>75.289379636842099</v>
      </c>
      <c r="L1086" s="102" t="s">
        <v>131</v>
      </c>
    </row>
    <row r="1087" spans="1:12" s="81" customFormat="1" ht="20.100000000000001" customHeight="1" thickBot="1" x14ac:dyDescent="0.3">
      <c r="A1087" s="327"/>
      <c r="B1087" s="323"/>
      <c r="C1087" s="100">
        <f>C1086+C1085</f>
        <v>223.9315663267557</v>
      </c>
      <c r="D1087" s="100">
        <f t="shared" ref="D1087:K1087" si="609">D1086+D1085</f>
        <v>209.424545136451</v>
      </c>
      <c r="E1087" s="100">
        <f t="shared" si="609"/>
        <v>148.10078724075279</v>
      </c>
      <c r="F1087" s="100">
        <f t="shared" si="609"/>
        <v>111.65985590208568</v>
      </c>
      <c r="G1087" s="100">
        <f t="shared" si="609"/>
        <v>113.97216240363367</v>
      </c>
      <c r="H1087" s="100">
        <f t="shared" si="609"/>
        <v>111.65985590208568</v>
      </c>
      <c r="I1087" s="100">
        <f t="shared" si="609"/>
        <v>150.27261546501546</v>
      </c>
      <c r="J1087" s="100">
        <f t="shared" si="609"/>
        <v>178.84201895737328</v>
      </c>
      <c r="K1087" s="100">
        <f t="shared" si="609"/>
        <v>78.455788305572753</v>
      </c>
      <c r="L1087" s="102" t="s">
        <v>131</v>
      </c>
    </row>
    <row r="1088" spans="1:12" s="81" customFormat="1" ht="20.100000000000001" customHeight="1" thickBot="1" x14ac:dyDescent="0.3">
      <c r="A1088" s="328"/>
      <c r="B1088" s="265" t="s">
        <v>212</v>
      </c>
      <c r="C1088" s="271">
        <f>SUM(C1083:C1086)</f>
        <v>6346.0973369381109</v>
      </c>
      <c r="D1088" s="271">
        <f t="shared" ref="D1088:K1088" si="610">SUM(D1083:D1086)</f>
        <v>8566.0304244936233</v>
      </c>
      <c r="E1088" s="271">
        <f t="shared" si="610"/>
        <v>1082.5537056898465</v>
      </c>
      <c r="F1088" s="271">
        <f t="shared" si="610"/>
        <v>762.58213384134979</v>
      </c>
      <c r="G1088" s="271">
        <f t="shared" si="610"/>
        <v>1634.3206962892259</v>
      </c>
      <c r="H1088" s="271">
        <f t="shared" si="610"/>
        <v>871.07417698924678</v>
      </c>
      <c r="I1088" s="271">
        <f t="shared" si="610"/>
        <v>2565.1996662850934</v>
      </c>
      <c r="J1088" s="271">
        <f t="shared" si="610"/>
        <v>3127.7262634601184</v>
      </c>
      <c r="K1088" s="271">
        <f t="shared" si="610"/>
        <v>750.74919737896062</v>
      </c>
      <c r="L1088" s="103" t="s">
        <v>131</v>
      </c>
    </row>
    <row r="1089" spans="1:12" s="81" customFormat="1" ht="20.100000000000001" hidden="1" customHeight="1" thickBot="1" x14ac:dyDescent="0.3">
      <c r="A1089" s="327" t="s">
        <v>1087</v>
      </c>
      <c r="B1089" s="321" t="s">
        <v>189</v>
      </c>
      <c r="C1089" s="95">
        <v>4111.9505193259238</v>
      </c>
      <c r="D1089" s="95">
        <v>7522.269459392789</v>
      </c>
      <c r="E1089" s="95">
        <v>591.39477310864117</v>
      </c>
      <c r="F1089" s="95">
        <v>411.74878149874513</v>
      </c>
      <c r="G1089" s="95">
        <v>961.83443578343497</v>
      </c>
      <c r="H1089" s="95">
        <v>477.95913259232702</v>
      </c>
      <c r="I1089" s="95">
        <v>1527.9953965579064</v>
      </c>
      <c r="J1089" s="95">
        <v>1875.0919351021873</v>
      </c>
      <c r="K1089" s="95">
        <v>430.02814377913234</v>
      </c>
      <c r="L1089" s="96" t="s">
        <v>131</v>
      </c>
    </row>
    <row r="1090" spans="1:12" s="81" customFormat="1" ht="20.100000000000001" customHeight="1" x14ac:dyDescent="0.25">
      <c r="A1090" s="327"/>
      <c r="B1090" s="322"/>
      <c r="C1090" s="11">
        <f>C1089/14.06*19.53*1.039</f>
        <v>5934.4482926379978</v>
      </c>
      <c r="D1090" s="11">
        <f t="shared" ref="D1090:K1090" si="611">D1089/14.06*19.53*1.039</f>
        <v>10856.288017146293</v>
      </c>
      <c r="E1090" s="11">
        <f t="shared" si="611"/>
        <v>853.51262984675816</v>
      </c>
      <c r="F1090" s="11">
        <f t="shared" si="611"/>
        <v>594.2439827222363</v>
      </c>
      <c r="G1090" s="11">
        <f t="shared" si="611"/>
        <v>1388.1384755016823</v>
      </c>
      <c r="H1090" s="11">
        <f t="shared" si="611"/>
        <v>689.80007055830322</v>
      </c>
      <c r="I1090" s="11">
        <f t="shared" si="611"/>
        <v>2205.2331684546352</v>
      </c>
      <c r="J1090" s="11">
        <f t="shared" si="611"/>
        <v>2706.1697558147225</v>
      </c>
      <c r="K1090" s="11">
        <f t="shared" si="611"/>
        <v>620.62511979222654</v>
      </c>
      <c r="L1090" s="97" t="s">
        <v>131</v>
      </c>
    </row>
    <row r="1091" spans="1:12" s="81" customFormat="1" ht="20.100000000000001" customHeight="1" x14ac:dyDescent="0.25">
      <c r="A1091" s="327"/>
      <c r="B1091" s="322"/>
      <c r="C1091" s="98">
        <f>C1090*0.0214</f>
        <v>126.99719346245315</v>
      </c>
      <c r="D1091" s="98">
        <f t="shared" ref="D1091:K1091" si="612">D1090*0.0214</f>
        <v>232.32456356693066</v>
      </c>
      <c r="E1091" s="98">
        <f t="shared" si="612"/>
        <v>18.265170278720625</v>
      </c>
      <c r="F1091" s="98">
        <f t="shared" si="612"/>
        <v>12.716821230255857</v>
      </c>
      <c r="G1091" s="98">
        <f t="shared" si="612"/>
        <v>29.706163375735997</v>
      </c>
      <c r="H1091" s="98">
        <f t="shared" si="612"/>
        <v>14.761721509947687</v>
      </c>
      <c r="I1091" s="98">
        <f t="shared" si="612"/>
        <v>47.191989804929193</v>
      </c>
      <c r="J1091" s="98">
        <f t="shared" si="612"/>
        <v>57.912032774435062</v>
      </c>
      <c r="K1091" s="98">
        <f t="shared" si="612"/>
        <v>13.281377563553647</v>
      </c>
      <c r="L1091" s="99" t="s">
        <v>131</v>
      </c>
    </row>
    <row r="1092" spans="1:12" s="81" customFormat="1" ht="20.100000000000001" hidden="1" customHeight="1" x14ac:dyDescent="0.25">
      <c r="A1092" s="327"/>
      <c r="B1092" s="322"/>
      <c r="C1092" s="98">
        <f>17671/2203.9</f>
        <v>8.018058895594173</v>
      </c>
      <c r="D1092" s="98">
        <f>13754/551</f>
        <v>24.961887477313976</v>
      </c>
      <c r="E1092" s="98">
        <f>8577/2203.9</f>
        <v>3.8917373746540225</v>
      </c>
      <c r="F1092" s="98">
        <f>26202/2/2203.9</f>
        <v>5.9444620899314851</v>
      </c>
      <c r="G1092" s="98">
        <f>24227/2203.9</f>
        <v>10.992785516584236</v>
      </c>
      <c r="H1092" s="98">
        <f>F1092</f>
        <v>5.9444620899314851</v>
      </c>
      <c r="I1092" s="98">
        <f>27190/2203.9</f>
        <v>12.337220382050003</v>
      </c>
      <c r="J1092" s="98">
        <f>5213/2203.9</f>
        <v>2.3653523299605244</v>
      </c>
      <c r="K1092" s="98">
        <f>J1092</f>
        <v>2.3653523299605244</v>
      </c>
      <c r="L1092" s="99" t="s">
        <v>131</v>
      </c>
    </row>
    <row r="1093" spans="1:12" s="81" customFormat="1" ht="20.100000000000001" hidden="1" customHeight="1" thickBot="1" x14ac:dyDescent="0.3">
      <c r="A1093" s="327"/>
      <c r="B1093" s="322"/>
      <c r="C1093" s="100">
        <f>(1/1394.5)*188649*1.2*P4</f>
        <v>201.07005087580907</v>
      </c>
      <c r="D1093" s="100">
        <f>(1/551)*66027.66*1.2*P4</f>
        <v>178.10893485081669</v>
      </c>
      <c r="E1093" s="100">
        <f>(1/1394.5)*125766*1.2*P4</f>
        <v>134.04670058387273</v>
      </c>
      <c r="F1093" s="100">
        <f>(1/1394.5)*94324.5*1.2*P4</f>
        <v>100.53502543790454</v>
      </c>
      <c r="G1093" s="101">
        <f>(1/1394.5)*94324.5*1.2*P4</f>
        <v>100.53502543790454</v>
      </c>
      <c r="H1093" s="101">
        <f>(1/1394.5)*94324.5*1.2*P4</f>
        <v>100.53502543790454</v>
      </c>
      <c r="I1093" s="101">
        <f>(1/1394.5)*124194.18*1.2*P4</f>
        <v>132.37138861631595</v>
      </c>
      <c r="J1093" s="101">
        <f>(1/1394.5)*154063.86*1.2*P4</f>
        <v>164.20775179472739</v>
      </c>
      <c r="K1093" s="100">
        <f>(1/1394.5)*66027.66*1.2*P4</f>
        <v>70.375061386016483</v>
      </c>
      <c r="L1093" s="102" t="s">
        <v>131</v>
      </c>
    </row>
    <row r="1094" spans="1:12" s="81" customFormat="1" ht="20.100000000000001" customHeight="1" thickBot="1" x14ac:dyDescent="0.3">
      <c r="A1094" s="327"/>
      <c r="B1094" s="323"/>
      <c r="C1094" s="100">
        <f>C1093+C1092</f>
        <v>209.08810977140325</v>
      </c>
      <c r="D1094" s="100">
        <f t="shared" ref="D1094:K1094" si="613">D1093+D1092</f>
        <v>203.07082232813067</v>
      </c>
      <c r="E1094" s="100">
        <f t="shared" si="613"/>
        <v>137.93843795852675</v>
      </c>
      <c r="F1094" s="100">
        <f t="shared" si="613"/>
        <v>106.47948752783603</v>
      </c>
      <c r="G1094" s="100">
        <f t="shared" si="613"/>
        <v>111.52781095448877</v>
      </c>
      <c r="H1094" s="100">
        <f t="shared" si="613"/>
        <v>106.47948752783603</v>
      </c>
      <c r="I1094" s="100">
        <f t="shared" si="613"/>
        <v>144.70860899836595</v>
      </c>
      <c r="J1094" s="100">
        <f t="shared" si="613"/>
        <v>166.57310412468792</v>
      </c>
      <c r="K1094" s="100">
        <f t="shared" si="613"/>
        <v>72.740413715977013</v>
      </c>
      <c r="L1094" s="102" t="s">
        <v>131</v>
      </c>
    </row>
    <row r="1095" spans="1:12" s="81" customFormat="1" ht="20.100000000000001" customHeight="1" thickBot="1" x14ac:dyDescent="0.3">
      <c r="A1095" s="328"/>
      <c r="B1095" s="265" t="s">
        <v>212</v>
      </c>
      <c r="C1095" s="271">
        <f>SUM(C1090:C1093)</f>
        <v>6270.5335958718542</v>
      </c>
      <c r="D1095" s="271">
        <f t="shared" ref="D1095:K1095" si="614">SUM(D1090:D1093)</f>
        <v>11291.683403041352</v>
      </c>
      <c r="E1095" s="271">
        <f t="shared" si="614"/>
        <v>1009.7162380840055</v>
      </c>
      <c r="F1095" s="271">
        <f t="shared" si="614"/>
        <v>713.44029148032814</v>
      </c>
      <c r="G1095" s="271">
        <f t="shared" si="614"/>
        <v>1529.372449831907</v>
      </c>
      <c r="H1095" s="271">
        <f t="shared" si="614"/>
        <v>811.04127959608695</v>
      </c>
      <c r="I1095" s="271">
        <f t="shared" si="614"/>
        <v>2397.1337672579302</v>
      </c>
      <c r="J1095" s="271">
        <f t="shared" si="614"/>
        <v>2930.6548927138451</v>
      </c>
      <c r="K1095" s="271">
        <f t="shared" si="614"/>
        <v>706.64691107175713</v>
      </c>
      <c r="L1095" s="103" t="s">
        <v>131</v>
      </c>
    </row>
    <row r="1096" spans="1:12" s="53" customFormat="1" ht="18" customHeight="1" thickBot="1" x14ac:dyDescent="0.3">
      <c r="A1096" s="311" t="s">
        <v>1088</v>
      </c>
      <c r="B1096" s="312"/>
      <c r="C1096" s="312"/>
      <c r="D1096" s="312"/>
      <c r="E1096" s="312"/>
      <c r="F1096" s="312"/>
      <c r="G1096" s="312"/>
      <c r="H1096" s="312"/>
      <c r="I1096" s="312"/>
      <c r="J1096" s="312"/>
      <c r="K1096" s="312"/>
      <c r="L1096" s="313"/>
    </row>
    <row r="1097" spans="1:12" s="81" customFormat="1" ht="20.100000000000001" hidden="1" customHeight="1" thickBot="1" x14ac:dyDescent="0.3">
      <c r="A1097" s="327" t="s">
        <v>1089</v>
      </c>
      <c r="B1097" s="321" t="s">
        <v>133</v>
      </c>
      <c r="C1097" s="9">
        <v>6865.5218197034965</v>
      </c>
      <c r="D1097" s="9">
        <v>8413.7821475897672</v>
      </c>
      <c r="E1097" s="9">
        <v>1042.9568295319843</v>
      </c>
      <c r="F1097" s="9">
        <v>507.11313928092915</v>
      </c>
      <c r="G1097" s="9" t="s">
        <v>131</v>
      </c>
      <c r="H1097" s="9">
        <v>717.99508117267362</v>
      </c>
      <c r="I1097" s="9" t="s">
        <v>131</v>
      </c>
      <c r="J1097" s="9">
        <v>3487.6033861100163</v>
      </c>
      <c r="K1097" s="9" t="s">
        <v>131</v>
      </c>
      <c r="L1097" s="20" t="s">
        <v>131</v>
      </c>
    </row>
    <row r="1098" spans="1:12" s="81" customFormat="1" ht="20.100000000000001" customHeight="1" x14ac:dyDescent="0.25">
      <c r="A1098" s="327"/>
      <c r="B1098" s="322"/>
      <c r="C1098" s="10">
        <v>14569</v>
      </c>
      <c r="D1098" s="107">
        <v>16348.02</v>
      </c>
      <c r="E1098" s="10">
        <f t="shared" ref="E1098:J1098" si="615">E1097/13.19*19.53*1.039</f>
        <v>1604.4985450424019</v>
      </c>
      <c r="F1098" s="10">
        <f t="shared" si="615"/>
        <v>780.14954321096684</v>
      </c>
      <c r="G1098" s="10" t="s">
        <v>131</v>
      </c>
      <c r="H1098" s="10">
        <f t="shared" si="615"/>
        <v>1104.5731045321536</v>
      </c>
      <c r="I1098" s="10" t="s">
        <v>131</v>
      </c>
      <c r="J1098" s="10">
        <f t="shared" si="615"/>
        <v>5365.3750569997756</v>
      </c>
      <c r="K1098" s="10" t="s">
        <v>131</v>
      </c>
      <c r="L1098" s="26" t="s">
        <v>131</v>
      </c>
    </row>
    <row r="1099" spans="1:12" s="81" customFormat="1" ht="20.100000000000001" customHeight="1" x14ac:dyDescent="0.25">
      <c r="A1099" s="327"/>
      <c r="B1099" s="322"/>
      <c r="C1099" s="16">
        <f>C1098*0.0214</f>
        <v>311.77659999999997</v>
      </c>
      <c r="D1099" s="16">
        <f t="shared" ref="D1099:J1099" si="616">D1098*0.0214</f>
        <v>349.84762799999999</v>
      </c>
      <c r="E1099" s="16">
        <f t="shared" si="616"/>
        <v>34.336268863907399</v>
      </c>
      <c r="F1099" s="16">
        <f t="shared" si="616"/>
        <v>16.695200224714689</v>
      </c>
      <c r="G1099" s="16" t="s">
        <v>131</v>
      </c>
      <c r="H1099" s="16">
        <f t="shared" si="616"/>
        <v>23.637864436988085</v>
      </c>
      <c r="I1099" s="16" t="s">
        <v>131</v>
      </c>
      <c r="J1099" s="16">
        <f t="shared" si="616"/>
        <v>114.81902621979519</v>
      </c>
      <c r="K1099" s="16" t="s">
        <v>131</v>
      </c>
      <c r="L1099" s="15" t="s">
        <v>131</v>
      </c>
    </row>
    <row r="1100" spans="1:12" s="81" customFormat="1" ht="20.100000000000001" hidden="1" customHeight="1" x14ac:dyDescent="0.25">
      <c r="A1100" s="327"/>
      <c r="B1100" s="322"/>
      <c r="C1100" s="16">
        <f>21836/498.5</f>
        <v>43.803410230692073</v>
      </c>
      <c r="D1100" s="16">
        <f>20755/262</f>
        <v>79.217557251908403</v>
      </c>
      <c r="E1100" s="16">
        <f>19025/498.5</f>
        <v>38.164493480441323</v>
      </c>
      <c r="F1100" s="16">
        <f>1924/498.5</f>
        <v>3.859578736208626</v>
      </c>
      <c r="G1100" s="16" t="s">
        <v>131</v>
      </c>
      <c r="H1100" s="16">
        <f>F1100</f>
        <v>3.859578736208626</v>
      </c>
      <c r="I1100" s="16" t="s">
        <v>131</v>
      </c>
      <c r="J1100" s="16">
        <f>18399/498.5</f>
        <v>36.908726178535609</v>
      </c>
      <c r="K1100" s="16" t="s">
        <v>131</v>
      </c>
      <c r="L1100" s="15" t="s">
        <v>131</v>
      </c>
    </row>
    <row r="1101" spans="1:12" s="81" customFormat="1" ht="20.100000000000001" hidden="1" customHeight="1" thickBot="1" x14ac:dyDescent="0.3">
      <c r="A1101" s="327"/>
      <c r="B1101" s="322"/>
      <c r="C1101" s="67">
        <f>(1/498.5)*82802.58*1.2*P4</f>
        <v>246.88238560434985</v>
      </c>
      <c r="D1101" s="67">
        <f>(1/262)*28981.26*1.2*P4</f>
        <v>164.40967497492966</v>
      </c>
      <c r="E1101" s="67">
        <f>(1/498.5)*55202.4*1.2*P4</f>
        <v>164.59028454289182</v>
      </c>
      <c r="F1101" s="67">
        <f>(1/498.5)*41401.8*1.2*P4</f>
        <v>123.44271340716888</v>
      </c>
      <c r="G1101" s="68" t="s">
        <v>131</v>
      </c>
      <c r="H1101" s="68">
        <f>(1/498.5)*41401.8*1.2*P4</f>
        <v>123.44271340716888</v>
      </c>
      <c r="I1101" s="68" t="s">
        <v>131</v>
      </c>
      <c r="J1101" s="68">
        <f>(1/498.5)*67621.92*1.2*P4</f>
        <v>201.6200573550546</v>
      </c>
      <c r="K1101" s="67" t="s">
        <v>131</v>
      </c>
      <c r="L1101" s="34" t="s">
        <v>131</v>
      </c>
    </row>
    <row r="1102" spans="1:12" s="81" customFormat="1" ht="20.100000000000001" customHeight="1" thickBot="1" x14ac:dyDescent="0.3">
      <c r="A1102" s="327"/>
      <c r="B1102" s="323"/>
      <c r="C1102" s="18">
        <f>C1101+C1100</f>
        <v>290.68579583504192</v>
      </c>
      <c r="D1102" s="18">
        <f t="shared" ref="D1102:J1102" si="617">D1101+D1100</f>
        <v>243.62723222683806</v>
      </c>
      <c r="E1102" s="18">
        <f t="shared" si="617"/>
        <v>202.75477802333313</v>
      </c>
      <c r="F1102" s="18">
        <f t="shared" si="617"/>
        <v>127.30229214337751</v>
      </c>
      <c r="G1102" s="18" t="s">
        <v>131</v>
      </c>
      <c r="H1102" s="18">
        <f t="shared" si="617"/>
        <v>127.30229214337751</v>
      </c>
      <c r="I1102" s="18" t="s">
        <v>131</v>
      </c>
      <c r="J1102" s="18">
        <f t="shared" si="617"/>
        <v>238.5287835335902</v>
      </c>
      <c r="K1102" s="18" t="s">
        <v>131</v>
      </c>
      <c r="L1102" s="41" t="s">
        <v>131</v>
      </c>
    </row>
    <row r="1103" spans="1:12" s="81" customFormat="1" ht="20.100000000000001" customHeight="1" thickBot="1" x14ac:dyDescent="0.3">
      <c r="A1103" s="328"/>
      <c r="B1103" s="259" t="s">
        <v>212</v>
      </c>
      <c r="C1103" s="36">
        <f>SUM(C1098:C1101)</f>
        <v>15171.46239583504</v>
      </c>
      <c r="D1103" s="36">
        <f t="shared" ref="D1103:J1103" si="618">SUM(D1098:D1101)</f>
        <v>16941.494860226838</v>
      </c>
      <c r="E1103" s="36">
        <f t="shared" si="618"/>
        <v>1841.5895919296424</v>
      </c>
      <c r="F1103" s="36">
        <f t="shared" si="618"/>
        <v>924.14703557905898</v>
      </c>
      <c r="G1103" s="36" t="s">
        <v>131</v>
      </c>
      <c r="H1103" s="36">
        <f t="shared" si="618"/>
        <v>1255.5132611125193</v>
      </c>
      <c r="I1103" s="36" t="s">
        <v>131</v>
      </c>
      <c r="J1103" s="36">
        <f t="shared" si="618"/>
        <v>5718.7228667531608</v>
      </c>
      <c r="K1103" s="36" t="s">
        <v>131</v>
      </c>
      <c r="L1103" s="37"/>
    </row>
    <row r="1104" spans="1:12" s="81" customFormat="1" ht="20.100000000000001" hidden="1" customHeight="1" thickBot="1" x14ac:dyDescent="0.3">
      <c r="A1104" s="327" t="s">
        <v>1090</v>
      </c>
      <c r="B1104" s="321" t="s">
        <v>134</v>
      </c>
      <c r="C1104" s="9">
        <v>3749.6522267124387</v>
      </c>
      <c r="D1104" s="9">
        <v>5683.9686100208237</v>
      </c>
      <c r="E1104" s="9">
        <v>623.20846109656031</v>
      </c>
      <c r="F1104" s="9">
        <v>357.03804935925643</v>
      </c>
      <c r="G1104" s="9" t="s">
        <v>131</v>
      </c>
      <c r="H1104" s="9">
        <v>271.98433567851106</v>
      </c>
      <c r="I1104" s="9" t="s">
        <v>131</v>
      </c>
      <c r="J1104" s="9">
        <v>2434.4298204314532</v>
      </c>
      <c r="K1104" s="9">
        <v>537.29409974781129</v>
      </c>
      <c r="L1104" s="69" t="s">
        <v>131</v>
      </c>
    </row>
    <row r="1105" spans="1:13" s="81" customFormat="1" ht="20.100000000000001" customHeight="1" x14ac:dyDescent="0.25">
      <c r="A1105" s="327"/>
      <c r="B1105" s="322"/>
      <c r="C1105" s="10">
        <v>14569</v>
      </c>
      <c r="D1105" s="107">
        <v>16348.02</v>
      </c>
      <c r="E1105" s="10">
        <f t="shared" ref="E1105:K1105" si="619">E1104/13.19*19.53*1.039</f>
        <v>958.75211779979065</v>
      </c>
      <c r="F1105" s="10">
        <f t="shared" si="619"/>
        <v>549.27204511309651</v>
      </c>
      <c r="G1105" s="10" t="s">
        <v>131</v>
      </c>
      <c r="H1105" s="10">
        <f t="shared" si="619"/>
        <v>418.42428997403886</v>
      </c>
      <c r="I1105" s="10" t="s">
        <v>131</v>
      </c>
      <c r="J1105" s="10">
        <f t="shared" si="619"/>
        <v>3745.1589502922143</v>
      </c>
      <c r="K1105" s="10">
        <f t="shared" si="619"/>
        <v>826.58033093477411</v>
      </c>
      <c r="L1105" s="26" t="s">
        <v>131</v>
      </c>
    </row>
    <row r="1106" spans="1:13" s="81" customFormat="1" ht="20.100000000000001" customHeight="1" x14ac:dyDescent="0.25">
      <c r="A1106" s="327"/>
      <c r="B1106" s="322"/>
      <c r="C1106" s="16">
        <f>C1105*0.0214</f>
        <v>311.77659999999997</v>
      </c>
      <c r="D1106" s="16">
        <f t="shared" ref="D1106:K1106" si="620">D1105*0.0214</f>
        <v>349.84762799999999</v>
      </c>
      <c r="E1106" s="16">
        <f t="shared" si="620"/>
        <v>20.517295320915519</v>
      </c>
      <c r="F1106" s="16">
        <f t="shared" si="620"/>
        <v>11.754421765420265</v>
      </c>
      <c r="G1106" s="16" t="s">
        <v>131</v>
      </c>
      <c r="H1106" s="16">
        <f t="shared" si="620"/>
        <v>8.9542798054444308</v>
      </c>
      <c r="I1106" s="16" t="s">
        <v>131</v>
      </c>
      <c r="J1106" s="16">
        <f t="shared" si="620"/>
        <v>80.146401536253379</v>
      </c>
      <c r="K1106" s="16">
        <f t="shared" si="620"/>
        <v>17.688819082004166</v>
      </c>
      <c r="L1106" s="15" t="s">
        <v>131</v>
      </c>
    </row>
    <row r="1107" spans="1:13" s="81" customFormat="1" ht="20.100000000000001" hidden="1" customHeight="1" x14ac:dyDescent="0.25">
      <c r="A1107" s="327"/>
      <c r="B1107" s="322"/>
      <c r="C1107" s="16">
        <f>30161/1637</f>
        <v>18.424557116676848</v>
      </c>
      <c r="D1107" s="16">
        <f>26931/573</f>
        <v>47</v>
      </c>
      <c r="E1107" s="16">
        <v>13.539401343921808</v>
      </c>
      <c r="F1107" s="16">
        <f>27920/2/1637</f>
        <v>8.5277947464874764</v>
      </c>
      <c r="G1107" s="16" t="s">
        <v>131</v>
      </c>
      <c r="H1107" s="16">
        <f>F1107</f>
        <v>8.5277947464874764</v>
      </c>
      <c r="I1107" s="16" t="s">
        <v>131</v>
      </c>
      <c r="J1107" s="16">
        <f>19887/1637</f>
        <v>12.148442272449604</v>
      </c>
      <c r="K1107" s="16">
        <f>J1107</f>
        <v>12.148442272449604</v>
      </c>
      <c r="L1107" s="15" t="s">
        <v>131</v>
      </c>
    </row>
    <row r="1108" spans="1:13" s="81" customFormat="1" ht="20.100000000000001" hidden="1" customHeight="1" thickBot="1" x14ac:dyDescent="0.3">
      <c r="A1108" s="327"/>
      <c r="B1108" s="322"/>
      <c r="C1108" s="67">
        <f>(1/1637)*138602.7*1.2*P4</f>
        <v>125.84454940211553</v>
      </c>
      <c r="D1108" s="67">
        <f>(1/573)*48511.2*1.2*P4</f>
        <v>125.83422965224578</v>
      </c>
      <c r="E1108" s="67">
        <f>(1/1637)*92401.8*1.2*P4</f>
        <v>83.896366268077031</v>
      </c>
      <c r="F1108" s="67">
        <f>(1/1637)*69301.86*1.2*P4</f>
        <v>62.922737756396486</v>
      </c>
      <c r="G1108" s="68" t="s">
        <v>131</v>
      </c>
      <c r="H1108" s="68">
        <f>(1/1637)*69301.86*1.2*P4</f>
        <v>62.922737756396486</v>
      </c>
      <c r="I1108" s="68" t="s">
        <v>131</v>
      </c>
      <c r="J1108" s="68">
        <f>(1/1637)*113192.46*1.2*P4</f>
        <v>102.77328020606373</v>
      </c>
      <c r="K1108" s="67">
        <f>(1/1637)*48511.2*1.2*P4</f>
        <v>44.045823818409794</v>
      </c>
      <c r="L1108" s="34" t="s">
        <v>131</v>
      </c>
    </row>
    <row r="1109" spans="1:13" s="81" customFormat="1" ht="20.100000000000001" customHeight="1" thickBot="1" x14ac:dyDescent="0.3">
      <c r="A1109" s="327"/>
      <c r="B1109" s="323"/>
      <c r="C1109" s="18">
        <f>C1108+C1107</f>
        <v>144.26910651879237</v>
      </c>
      <c r="D1109" s="18">
        <f t="shared" ref="D1109:K1109" si="621">D1108+D1107</f>
        <v>172.83422965224577</v>
      </c>
      <c r="E1109" s="18">
        <f t="shared" si="621"/>
        <v>97.435767611998841</v>
      </c>
      <c r="F1109" s="18">
        <f t="shared" si="621"/>
        <v>71.450532502883959</v>
      </c>
      <c r="G1109" s="18" t="s">
        <v>131</v>
      </c>
      <c r="H1109" s="18">
        <f t="shared" si="621"/>
        <v>71.450532502883959</v>
      </c>
      <c r="I1109" s="18" t="s">
        <v>131</v>
      </c>
      <c r="J1109" s="18">
        <f t="shared" si="621"/>
        <v>114.92172247851333</v>
      </c>
      <c r="K1109" s="18">
        <f t="shared" si="621"/>
        <v>56.194266090859401</v>
      </c>
      <c r="L1109" s="34" t="s">
        <v>131</v>
      </c>
    </row>
    <row r="1110" spans="1:13" s="81" customFormat="1" ht="20.100000000000001" customHeight="1" thickBot="1" x14ac:dyDescent="0.3">
      <c r="A1110" s="328"/>
      <c r="B1110" s="259" t="s">
        <v>212</v>
      </c>
      <c r="C1110" s="36">
        <f>SUM(C1105:C1108)</f>
        <v>15025.045706518793</v>
      </c>
      <c r="D1110" s="36">
        <f t="shared" ref="D1110:K1110" si="622">SUM(D1105:D1108)</f>
        <v>16870.701857652246</v>
      </c>
      <c r="E1110" s="36">
        <f t="shared" si="622"/>
        <v>1076.705180732705</v>
      </c>
      <c r="F1110" s="36">
        <f t="shared" si="622"/>
        <v>632.47699938140079</v>
      </c>
      <c r="G1110" s="36" t="s">
        <v>131</v>
      </c>
      <c r="H1110" s="36">
        <f t="shared" si="622"/>
        <v>498.82910228236727</v>
      </c>
      <c r="I1110" s="36" t="s">
        <v>131</v>
      </c>
      <c r="J1110" s="36">
        <f t="shared" si="622"/>
        <v>3940.2270743069812</v>
      </c>
      <c r="K1110" s="36">
        <f t="shared" si="622"/>
        <v>900.46341610763773</v>
      </c>
      <c r="L1110" s="37" t="s">
        <v>131</v>
      </c>
    </row>
    <row r="1111" spans="1:13" s="81" customFormat="1" ht="20.100000000000001" hidden="1" customHeight="1" thickBot="1" x14ac:dyDescent="0.3">
      <c r="A1111" s="327" t="s">
        <v>1091</v>
      </c>
      <c r="B1111" s="321" t="s">
        <v>135</v>
      </c>
      <c r="C1111" s="9">
        <v>3352.4403323676097</v>
      </c>
      <c r="D1111" s="9">
        <v>5698.8023793600596</v>
      </c>
      <c r="E1111" s="9">
        <v>511.73114791993351</v>
      </c>
      <c r="F1111" s="9">
        <v>356.2548781077333</v>
      </c>
      <c r="G1111" s="9" t="s">
        <v>131</v>
      </c>
      <c r="H1111" s="9">
        <v>416.72516631688978</v>
      </c>
      <c r="I1111" s="9" t="s">
        <v>131</v>
      </c>
      <c r="J1111" s="9">
        <v>1606.5479063313353</v>
      </c>
      <c r="K1111" s="9">
        <v>364.41907191048807</v>
      </c>
      <c r="L1111" s="20" t="s">
        <v>131</v>
      </c>
    </row>
    <row r="1112" spans="1:13" s="81" customFormat="1" ht="20.100000000000001" customHeight="1" x14ac:dyDescent="0.25">
      <c r="A1112" s="327"/>
      <c r="B1112" s="322"/>
      <c r="C1112" s="10">
        <v>14569</v>
      </c>
      <c r="D1112" s="107">
        <v>16348.02</v>
      </c>
      <c r="E1112" s="10">
        <f t="shared" ref="E1112:K1112" si="623">E1111/13.19*19.53*1.039</f>
        <v>787.25394862111284</v>
      </c>
      <c r="F1112" s="10">
        <f t="shared" si="623"/>
        <v>548.06720412830543</v>
      </c>
      <c r="G1112" s="10" t="s">
        <v>131</v>
      </c>
      <c r="H1112" s="10">
        <f t="shared" si="623"/>
        <v>641.09549322194414</v>
      </c>
      <c r="I1112" s="10" t="s">
        <v>131</v>
      </c>
      <c r="J1112" s="10">
        <f t="shared" si="623"/>
        <v>2471.5344923780413</v>
      </c>
      <c r="K1112" s="10">
        <f t="shared" si="623"/>
        <v>560.62710757497302</v>
      </c>
      <c r="L1112" s="108" t="s">
        <v>131</v>
      </c>
    </row>
    <row r="1113" spans="1:13" s="81" customFormat="1" ht="20.100000000000001" customHeight="1" x14ac:dyDescent="0.25">
      <c r="A1113" s="327"/>
      <c r="B1113" s="322"/>
      <c r="C1113" s="16">
        <f>C1112*0.0214</f>
        <v>311.77659999999997</v>
      </c>
      <c r="D1113" s="16">
        <f t="shared" ref="D1113:K1113" si="624">D1112*0.0214</f>
        <v>349.84762799999999</v>
      </c>
      <c r="E1113" s="16">
        <f t="shared" si="624"/>
        <v>16.847234500491815</v>
      </c>
      <c r="F1113" s="16">
        <f t="shared" si="624"/>
        <v>11.728638168345736</v>
      </c>
      <c r="G1113" s="16" t="s">
        <v>131</v>
      </c>
      <c r="H1113" s="16">
        <f t="shared" si="624"/>
        <v>13.719443554949605</v>
      </c>
      <c r="I1113" s="16" t="s">
        <v>131</v>
      </c>
      <c r="J1113" s="16">
        <f t="shared" si="624"/>
        <v>52.890838136890082</v>
      </c>
      <c r="K1113" s="16">
        <f t="shared" si="624"/>
        <v>11.997420102104423</v>
      </c>
      <c r="L1113" s="109" t="s">
        <v>131</v>
      </c>
    </row>
    <row r="1114" spans="1:13" s="81" customFormat="1" ht="20.100000000000001" hidden="1" customHeight="1" x14ac:dyDescent="0.25">
      <c r="A1114" s="327"/>
      <c r="B1114" s="322"/>
      <c r="C1114" s="16">
        <f>29990/1614.6</f>
        <v>18.574259878607705</v>
      </c>
      <c r="D1114" s="16">
        <f>26804/424</f>
        <v>63.216981132075475</v>
      </c>
      <c r="E1114" s="16">
        <f>22102/1614.6</f>
        <v>13.688839341013255</v>
      </c>
      <c r="F1114" s="16">
        <f>27779/2/1614.6</f>
        <v>8.6024402328750167</v>
      </c>
      <c r="G1114" s="16" t="s">
        <v>131</v>
      </c>
      <c r="H1114" s="16">
        <f>F1114</f>
        <v>8.6024402328750167</v>
      </c>
      <c r="I1114" s="16" t="s">
        <v>131</v>
      </c>
      <c r="J1114" s="16">
        <f>19857/1614.6</f>
        <v>12.298402081010778</v>
      </c>
      <c r="K1114" s="16">
        <f>19857/1614.6</f>
        <v>12.298402081010778</v>
      </c>
      <c r="L1114" s="15" t="s">
        <v>131</v>
      </c>
    </row>
    <row r="1115" spans="1:13" s="112" customFormat="1" ht="20.100000000000001" hidden="1" customHeight="1" thickBot="1" x14ac:dyDescent="0.3">
      <c r="A1115" s="327"/>
      <c r="B1115" s="322"/>
      <c r="C1115" s="67">
        <f>(1/1614.6)*138240.6*1.2*P4</f>
        <v>127.25711138531948</v>
      </c>
      <c r="D1115" s="110">
        <f>(1/424)*48383.7*1.2*P4</f>
        <v>169.60733064473681</v>
      </c>
      <c r="E1115" s="110">
        <f>(1/1614.6)*92160.06*1.2*P4</f>
        <v>84.837761270550956</v>
      </c>
      <c r="F1115" s="110">
        <f>(1/1614.6)*69120.3*1.2*P4</f>
        <v>63.628555692659738</v>
      </c>
      <c r="G1115" s="111" t="s">
        <v>131</v>
      </c>
      <c r="H1115" s="111">
        <f>(1/1614.6)*69120.3*1.2*P4</f>
        <v>63.628555692659738</v>
      </c>
      <c r="I1115" s="111" t="s">
        <v>131</v>
      </c>
      <c r="J1115" s="111">
        <f>(1/1614.6)*112896.66*1.2*P4</f>
        <v>103.92679745784193</v>
      </c>
      <c r="K1115" s="110">
        <f>(1/1614.6)*48383.7*1.2*P4</f>
        <v>44.539519505368773</v>
      </c>
      <c r="L1115" s="84" t="s">
        <v>131</v>
      </c>
    </row>
    <row r="1116" spans="1:13" s="112" customFormat="1" ht="20.100000000000001" customHeight="1" thickBot="1" x14ac:dyDescent="0.3">
      <c r="A1116" s="327"/>
      <c r="B1116" s="323"/>
      <c r="C1116" s="18">
        <f>C1115+C1114</f>
        <v>145.83137126392717</v>
      </c>
      <c r="D1116" s="18">
        <f t="shared" ref="D1116:K1116" si="625">D1115+D1114</f>
        <v>232.82431177681229</v>
      </c>
      <c r="E1116" s="18">
        <f t="shared" si="625"/>
        <v>98.526600611564206</v>
      </c>
      <c r="F1116" s="18">
        <f t="shared" si="625"/>
        <v>72.230995925534756</v>
      </c>
      <c r="G1116" s="18" t="s">
        <v>131</v>
      </c>
      <c r="H1116" s="18">
        <f t="shared" si="625"/>
        <v>72.230995925534756</v>
      </c>
      <c r="I1116" s="18" t="s">
        <v>131</v>
      </c>
      <c r="J1116" s="18">
        <f t="shared" si="625"/>
        <v>116.22519953885271</v>
      </c>
      <c r="K1116" s="18">
        <f t="shared" si="625"/>
        <v>56.837921586379551</v>
      </c>
      <c r="L1116" s="84" t="s">
        <v>131</v>
      </c>
    </row>
    <row r="1117" spans="1:13" s="112" customFormat="1" ht="20.100000000000001" hidden="1" customHeight="1" thickBot="1" x14ac:dyDescent="0.3">
      <c r="A1117" s="327"/>
      <c r="B1117" s="263"/>
      <c r="C1117" s="18"/>
      <c r="D1117" s="18"/>
      <c r="E1117" s="18"/>
      <c r="F1117" s="18"/>
      <c r="G1117" s="18"/>
      <c r="H1117" s="18"/>
      <c r="I1117" s="18"/>
      <c r="J1117" s="18"/>
      <c r="K1117" s="18"/>
      <c r="L1117" s="84"/>
    </row>
    <row r="1118" spans="1:13" s="112" customFormat="1" ht="20.100000000000001" customHeight="1" thickBot="1" x14ac:dyDescent="0.3">
      <c r="A1118" s="328"/>
      <c r="B1118" s="265" t="s">
        <v>212</v>
      </c>
      <c r="C1118" s="36">
        <f>SUM(C1112:C1115)</f>
        <v>15026.607971263926</v>
      </c>
      <c r="D1118" s="36">
        <f t="shared" ref="D1118:K1118" si="626">SUM(D1112:D1115)</f>
        <v>16930.691939776811</v>
      </c>
      <c r="E1118" s="36">
        <f t="shared" si="626"/>
        <v>902.62778373316883</v>
      </c>
      <c r="F1118" s="36">
        <f t="shared" si="626"/>
        <v>632.0268382221858</v>
      </c>
      <c r="G1118" s="36" t="s">
        <v>131</v>
      </c>
      <c r="H1118" s="36">
        <f t="shared" si="626"/>
        <v>727.04593270242844</v>
      </c>
      <c r="I1118" s="36" t="s">
        <v>131</v>
      </c>
      <c r="J1118" s="36">
        <f t="shared" si="626"/>
        <v>2640.6505300537842</v>
      </c>
      <c r="K1118" s="36">
        <f t="shared" si="626"/>
        <v>629.46244926345696</v>
      </c>
      <c r="L1118" s="37" t="s">
        <v>131</v>
      </c>
    </row>
    <row r="1119" spans="1:13" s="81" customFormat="1" ht="20.100000000000001" hidden="1" customHeight="1" thickBot="1" x14ac:dyDescent="0.3">
      <c r="A1119" s="327" t="s">
        <v>1092</v>
      </c>
      <c r="B1119" s="321" t="s">
        <v>136</v>
      </c>
      <c r="C1119" s="9">
        <v>3776.2438742624086</v>
      </c>
      <c r="D1119" s="9">
        <v>7347.3705654450268</v>
      </c>
      <c r="E1119" s="9">
        <v>508.39349706591469</v>
      </c>
      <c r="F1119" s="9">
        <v>353.91042358034463</v>
      </c>
      <c r="G1119" s="9" t="s">
        <v>131</v>
      </c>
      <c r="H1119" s="9">
        <v>410.86851457829113</v>
      </c>
      <c r="I1119" s="9" t="s">
        <v>131</v>
      </c>
      <c r="J1119" s="9">
        <v>1622.2376250860746</v>
      </c>
      <c r="K1119" s="9">
        <v>362.28556915402521</v>
      </c>
      <c r="L1119" s="20" t="s">
        <v>131</v>
      </c>
    </row>
    <row r="1120" spans="1:13" s="81" customFormat="1" ht="20.100000000000001" customHeight="1" x14ac:dyDescent="0.25">
      <c r="A1120" s="327"/>
      <c r="B1120" s="322"/>
      <c r="C1120" s="10">
        <v>14569</v>
      </c>
      <c r="D1120" s="10">
        <f t="shared" ref="D1120:K1120" si="627">D1119/13.19*19.53*1.039</f>
        <v>11303.291803011667</v>
      </c>
      <c r="E1120" s="10">
        <f t="shared" si="627"/>
        <v>782.11926251762759</v>
      </c>
      <c r="F1120" s="10">
        <f t="shared" si="627"/>
        <v>544.46046435576739</v>
      </c>
      <c r="G1120" s="10" t="s">
        <v>131</v>
      </c>
      <c r="H1120" s="10">
        <f t="shared" si="627"/>
        <v>632.08554292743531</v>
      </c>
      <c r="I1120" s="10" t="s">
        <v>131</v>
      </c>
      <c r="J1120" s="10">
        <f t="shared" si="627"/>
        <v>2495.6717626861523</v>
      </c>
      <c r="K1120" s="10">
        <f t="shared" si="627"/>
        <v>557.34489878966326</v>
      </c>
      <c r="L1120" s="26" t="s">
        <v>131</v>
      </c>
      <c r="M1120" s="113"/>
    </row>
    <row r="1121" spans="1:12" s="81" customFormat="1" ht="20.100000000000001" customHeight="1" x14ac:dyDescent="0.25">
      <c r="A1121" s="327"/>
      <c r="B1121" s="322"/>
      <c r="C1121" s="16">
        <f>C1120*0.0214</f>
        <v>311.77659999999997</v>
      </c>
      <c r="D1121" s="16">
        <f t="shared" ref="D1121:K1121" si="628">D1120*0.0214</f>
        <v>241.89044458444965</v>
      </c>
      <c r="E1121" s="16">
        <f t="shared" si="628"/>
        <v>16.73735221787723</v>
      </c>
      <c r="F1121" s="16">
        <f t="shared" si="628"/>
        <v>11.651453937213422</v>
      </c>
      <c r="G1121" s="16" t="s">
        <v>131</v>
      </c>
      <c r="H1121" s="16">
        <f t="shared" si="628"/>
        <v>13.526630618647115</v>
      </c>
      <c r="I1121" s="16" t="s">
        <v>131</v>
      </c>
      <c r="J1121" s="16">
        <f t="shared" si="628"/>
        <v>53.407375721483653</v>
      </c>
      <c r="K1121" s="16">
        <f t="shared" si="628"/>
        <v>11.927180834098793</v>
      </c>
      <c r="L1121" s="15" t="s">
        <v>131</v>
      </c>
    </row>
    <row r="1122" spans="1:12" s="81" customFormat="1" ht="20.100000000000001" hidden="1" customHeight="1" x14ac:dyDescent="0.25">
      <c r="A1122" s="327"/>
      <c r="B1122" s="322"/>
      <c r="C1122" s="16">
        <f>30071/1635.2</f>
        <v>18.389799412915849</v>
      </c>
      <c r="D1122" s="16">
        <f>26864/410</f>
        <v>65.521951219512189</v>
      </c>
      <c r="E1122" s="16">
        <f>22159/1635.2</f>
        <v>13.551247553816047</v>
      </c>
      <c r="F1122" s="16">
        <f>27846/2/1635.2</f>
        <v>8.5145547945205475</v>
      </c>
      <c r="G1122" s="16" t="s">
        <v>131</v>
      </c>
      <c r="H1122" s="16">
        <f>F1122</f>
        <v>8.5145547945205475</v>
      </c>
      <c r="I1122" s="16" t="s">
        <v>131</v>
      </c>
      <c r="J1122" s="16">
        <f>19871/1635.2</f>
        <v>12.152030332681017</v>
      </c>
      <c r="K1122" s="16">
        <f>J1122</f>
        <v>12.152030332681017</v>
      </c>
      <c r="L1122" s="15" t="s">
        <v>131</v>
      </c>
    </row>
    <row r="1123" spans="1:12" s="112" customFormat="1" ht="20.100000000000001" hidden="1" customHeight="1" thickBot="1" x14ac:dyDescent="0.3">
      <c r="A1123" s="327"/>
      <c r="B1123" s="322"/>
      <c r="C1123" s="114">
        <f>(1/1625.2)*138411.96*1.2*P4</f>
        <v>126.58382186610876</v>
      </c>
      <c r="D1123" s="114">
        <f>(1/410)*48443.88*1.2*P4</f>
        <v>175.61696278274709</v>
      </c>
      <c r="E1123" s="114">
        <f>(1/1625.2)*92274.3*1.2*P4</f>
        <v>84.388903632459801</v>
      </c>
      <c r="F1123" s="114">
        <f>(1/1625.2)*69205.98*1.2*P4</f>
        <v>63.291910933054382</v>
      </c>
      <c r="G1123" s="68" t="s">
        <v>131</v>
      </c>
      <c r="H1123" s="115">
        <f>(1/1625.2)*69205.98*1.2*P4</f>
        <v>63.291910933054382</v>
      </c>
      <c r="I1123" s="116" t="s">
        <v>131</v>
      </c>
      <c r="J1123" s="116">
        <f>(1/1625.2)*113036.4*1.2*P4</f>
        <v>103.37675676282754</v>
      </c>
      <c r="K1123" s="114">
        <f>(1/1625.2)*48443.88*1.2*P4</f>
        <v>44.304057802686629</v>
      </c>
      <c r="L1123" s="34" t="s">
        <v>131</v>
      </c>
    </row>
    <row r="1124" spans="1:12" s="112" customFormat="1" ht="20.100000000000001" customHeight="1" thickBot="1" x14ac:dyDescent="0.3">
      <c r="A1124" s="327"/>
      <c r="B1124" s="323"/>
      <c r="C1124" s="64">
        <f>C1123+C1122</f>
        <v>144.9736212790246</v>
      </c>
      <c r="D1124" s="64">
        <f t="shared" ref="D1124:K1124" si="629">D1123+D1122</f>
        <v>241.1389140022593</v>
      </c>
      <c r="E1124" s="64">
        <f t="shared" si="629"/>
        <v>97.940151186275841</v>
      </c>
      <c r="F1124" s="64">
        <f t="shared" si="629"/>
        <v>71.806465727574931</v>
      </c>
      <c r="G1124" s="64" t="s">
        <v>131</v>
      </c>
      <c r="H1124" s="64">
        <f t="shared" si="629"/>
        <v>71.806465727574931</v>
      </c>
      <c r="I1124" s="64" t="s">
        <v>131</v>
      </c>
      <c r="J1124" s="64">
        <f t="shared" si="629"/>
        <v>115.52878709550856</v>
      </c>
      <c r="K1124" s="64">
        <f t="shared" si="629"/>
        <v>56.456088135367644</v>
      </c>
      <c r="L1124" s="34" t="s">
        <v>131</v>
      </c>
    </row>
    <row r="1125" spans="1:12" s="112" customFormat="1" ht="20.100000000000001" customHeight="1" thickBot="1" x14ac:dyDescent="0.3">
      <c r="A1125" s="328"/>
      <c r="B1125" s="265" t="s">
        <v>212</v>
      </c>
      <c r="C1125" s="94">
        <f>SUM(C1120:C1123)</f>
        <v>15025.750221279024</v>
      </c>
      <c r="D1125" s="94">
        <f t="shared" ref="D1125:K1125" si="630">SUM(D1120:D1123)</f>
        <v>11786.321161598376</v>
      </c>
      <c r="E1125" s="94">
        <f t="shared" si="630"/>
        <v>896.79676592178066</v>
      </c>
      <c r="F1125" s="94">
        <f t="shared" si="630"/>
        <v>627.91838402055578</v>
      </c>
      <c r="G1125" s="94" t="s">
        <v>131</v>
      </c>
      <c r="H1125" s="94">
        <f t="shared" si="630"/>
        <v>717.41863927365739</v>
      </c>
      <c r="I1125" s="94" t="s">
        <v>131</v>
      </c>
      <c r="J1125" s="94">
        <f t="shared" si="630"/>
        <v>2664.6079255031445</v>
      </c>
      <c r="K1125" s="94">
        <f t="shared" si="630"/>
        <v>625.72816775912963</v>
      </c>
      <c r="L1125" s="37" t="s">
        <v>131</v>
      </c>
    </row>
    <row r="1126" spans="1:12" s="73" customFormat="1" ht="20.100000000000001" hidden="1" customHeight="1" thickBot="1" x14ac:dyDescent="0.3">
      <c r="A1126" s="327" t="s">
        <v>1093</v>
      </c>
      <c r="B1126" s="321" t="s">
        <v>190</v>
      </c>
      <c r="C1126" s="9">
        <v>5518.1522506596302</v>
      </c>
      <c r="D1126" s="9">
        <v>7875.1437300000016</v>
      </c>
      <c r="E1126" s="9">
        <v>853.88099384344764</v>
      </c>
      <c r="F1126" s="9">
        <v>488.06590985048376</v>
      </c>
      <c r="G1126" s="76">
        <v>1200.4914916446787</v>
      </c>
      <c r="H1126" s="9">
        <v>519.68832365875107</v>
      </c>
      <c r="I1126" s="9">
        <v>2780.4121653474053</v>
      </c>
      <c r="J1126" s="9">
        <v>3762.7932796833775</v>
      </c>
      <c r="K1126" s="9" t="s">
        <v>131</v>
      </c>
      <c r="L1126" s="20" t="s">
        <v>131</v>
      </c>
    </row>
    <row r="1127" spans="1:12" s="73" customFormat="1" ht="20.100000000000001" customHeight="1" x14ac:dyDescent="0.25">
      <c r="A1127" s="327"/>
      <c r="B1127" s="322"/>
      <c r="C1127" s="10">
        <v>14569</v>
      </c>
      <c r="D1127" s="107">
        <v>16348.02</v>
      </c>
      <c r="E1127" s="10">
        <f t="shared" ref="E1127:J1127" si="631">E1126/14.06*19.53*1.039</f>
        <v>1232.3379335948271</v>
      </c>
      <c r="F1127" s="10">
        <f t="shared" si="631"/>
        <v>704.38637133255804</v>
      </c>
      <c r="G1127" s="10">
        <f t="shared" si="631"/>
        <v>1732.5730573443511</v>
      </c>
      <c r="H1127" s="10">
        <f t="shared" si="631"/>
        <v>750.02446419179012</v>
      </c>
      <c r="I1127" s="10">
        <f t="shared" si="631"/>
        <v>4012.7458124619475</v>
      </c>
      <c r="J1127" s="10">
        <f t="shared" si="631"/>
        <v>5430.5376607078797</v>
      </c>
      <c r="K1127" s="10" t="s">
        <v>131</v>
      </c>
      <c r="L1127" s="26" t="s">
        <v>131</v>
      </c>
    </row>
    <row r="1128" spans="1:12" s="73" customFormat="1" ht="20.100000000000001" customHeight="1" x14ac:dyDescent="0.25">
      <c r="A1128" s="327"/>
      <c r="B1128" s="322"/>
      <c r="C1128" s="16">
        <f>C1127*0.0214</f>
        <v>311.77659999999997</v>
      </c>
      <c r="D1128" s="16">
        <f t="shared" ref="D1128:J1128" si="632">D1127*0.0214</f>
        <v>349.84762799999999</v>
      </c>
      <c r="E1128" s="16">
        <f t="shared" si="632"/>
        <v>26.372031778929298</v>
      </c>
      <c r="F1128" s="16">
        <f t="shared" si="632"/>
        <v>15.073868346516742</v>
      </c>
      <c r="G1128" s="16">
        <f t="shared" si="632"/>
        <v>37.077063427169115</v>
      </c>
      <c r="H1128" s="16">
        <f t="shared" si="632"/>
        <v>16.050523533704308</v>
      </c>
      <c r="I1128" s="16">
        <f t="shared" si="632"/>
        <v>85.87276038668567</v>
      </c>
      <c r="J1128" s="16">
        <f t="shared" si="632"/>
        <v>116.21350593914862</v>
      </c>
      <c r="K1128" s="16" t="s">
        <v>131</v>
      </c>
      <c r="L1128" s="15" t="s">
        <v>131</v>
      </c>
    </row>
    <row r="1129" spans="1:12" s="73" customFormat="1" ht="20.100000000000001" hidden="1" customHeight="1" x14ac:dyDescent="0.25">
      <c r="A1129" s="327"/>
      <c r="B1129" s="322"/>
      <c r="C1129" s="16">
        <f>23375/681.8</f>
        <v>34.284247579935467</v>
      </c>
      <c r="D1129" s="16">
        <f>21897/360</f>
        <v>60.825000000000003</v>
      </c>
      <c r="E1129" s="16">
        <f>19530/681.8</f>
        <v>28.644763860369611</v>
      </c>
      <c r="F1129" s="16">
        <f>20705/2/681.8</f>
        <v>15.184071575242008</v>
      </c>
      <c r="G1129" s="16">
        <f>20400/681.8</f>
        <v>29.920797887943682</v>
      </c>
      <c r="H1129" s="16">
        <f>F1129</f>
        <v>15.184071575242008</v>
      </c>
      <c r="I1129" s="16">
        <f>22233/681.8</f>
        <v>32.609269580522152</v>
      </c>
      <c r="J1129" s="16">
        <f>18674/681.8</f>
        <v>27.389263713699034</v>
      </c>
      <c r="K1129" s="16" t="s">
        <v>131</v>
      </c>
      <c r="L1129" s="15" t="s">
        <v>131</v>
      </c>
    </row>
    <row r="1130" spans="1:12" s="73" customFormat="1" ht="20.100000000000001" hidden="1" customHeight="1" thickBot="1" x14ac:dyDescent="0.3">
      <c r="A1130" s="327"/>
      <c r="B1130" s="322"/>
      <c r="C1130" s="18">
        <f>(1/682.2)*84902.76*1.2*P4</f>
        <v>184.97860177253156</v>
      </c>
      <c r="D1130" s="18">
        <f>(1/682.2)*72167.04*1.2*P4</f>
        <v>157.23114482099706</v>
      </c>
      <c r="E1130" s="18">
        <f>(1/682.2)*56601.84*1.2*P4</f>
        <v>123.31906784835435</v>
      </c>
      <c r="F1130" s="18">
        <f>(1/682.2)*42451.38*1.2*P4</f>
        <v>92.489300886265781</v>
      </c>
      <c r="G1130" s="19">
        <f>(1/682.2)*42451.38*1.2*P4</f>
        <v>92.489300886265781</v>
      </c>
      <c r="H1130" s="19">
        <f>(1/682.2)*42451.38*1.2*P4</f>
        <v>92.489300886265781</v>
      </c>
      <c r="I1130" s="19">
        <f>(1/682.2)*55893.96*1.2*P4</f>
        <v>121.77680170031938</v>
      </c>
      <c r="J1130" s="19">
        <f>(1/682.2)*69337.56*1.2*P4</f>
        <v>151.06652479988887</v>
      </c>
      <c r="K1130" s="18" t="s">
        <v>131</v>
      </c>
      <c r="L1130" s="34" t="s">
        <v>131</v>
      </c>
    </row>
    <row r="1131" spans="1:12" s="73" customFormat="1" ht="20.100000000000001" customHeight="1" thickBot="1" x14ac:dyDescent="0.3">
      <c r="A1131" s="327"/>
      <c r="B1131" s="323"/>
      <c r="C1131" s="18">
        <f>C1130+C1129</f>
        <v>219.26284935246701</v>
      </c>
      <c r="D1131" s="18">
        <f t="shared" ref="D1131:J1131" si="633">D1130+D1129</f>
        <v>218.05614482099708</v>
      </c>
      <c r="E1131" s="18">
        <f t="shared" si="633"/>
        <v>151.96383170872397</v>
      </c>
      <c r="F1131" s="18">
        <f t="shared" si="633"/>
        <v>107.6733724615078</v>
      </c>
      <c r="G1131" s="18">
        <f t="shared" si="633"/>
        <v>122.41009877420946</v>
      </c>
      <c r="H1131" s="18">
        <f t="shared" si="633"/>
        <v>107.6733724615078</v>
      </c>
      <c r="I1131" s="18">
        <f t="shared" si="633"/>
        <v>154.38607128084152</v>
      </c>
      <c r="J1131" s="18">
        <f t="shared" si="633"/>
        <v>178.45578851358789</v>
      </c>
      <c r="K1131" s="18" t="s">
        <v>131</v>
      </c>
      <c r="L1131" s="34" t="s">
        <v>131</v>
      </c>
    </row>
    <row r="1132" spans="1:12" s="73" customFormat="1" ht="20.100000000000001" customHeight="1" thickBot="1" x14ac:dyDescent="0.3">
      <c r="A1132" s="328"/>
      <c r="B1132" s="259" t="s">
        <v>212</v>
      </c>
      <c r="C1132" s="36">
        <f>SUM(C1127:C1130)</f>
        <v>15100.039449352465</v>
      </c>
      <c r="D1132" s="36">
        <f t="shared" ref="D1132:J1132" si="634">SUM(D1127:D1130)</f>
        <v>16915.923772820999</v>
      </c>
      <c r="E1132" s="36">
        <f t="shared" si="634"/>
        <v>1410.6737970824804</v>
      </c>
      <c r="F1132" s="36">
        <f t="shared" si="634"/>
        <v>827.13361214058261</v>
      </c>
      <c r="G1132" s="36">
        <f t="shared" si="634"/>
        <v>1892.0602195457298</v>
      </c>
      <c r="H1132" s="36">
        <f t="shared" si="634"/>
        <v>873.74836018700228</v>
      </c>
      <c r="I1132" s="36">
        <f t="shared" si="634"/>
        <v>4253.0046441294744</v>
      </c>
      <c r="J1132" s="36">
        <f t="shared" si="634"/>
        <v>5725.2069551606155</v>
      </c>
      <c r="K1132" s="36" t="s">
        <v>131</v>
      </c>
      <c r="L1132" s="37" t="s">
        <v>131</v>
      </c>
    </row>
    <row r="1133" spans="1:12" s="73" customFormat="1" ht="20.100000000000001" hidden="1" customHeight="1" thickBot="1" x14ac:dyDescent="0.3">
      <c r="A1133" s="340" t="s">
        <v>1094</v>
      </c>
      <c r="B1133" s="321" t="s">
        <v>191</v>
      </c>
      <c r="C1133" s="9">
        <v>5015.4763596217317</v>
      </c>
      <c r="D1133" s="9">
        <v>6814.1064293749996</v>
      </c>
      <c r="E1133" s="9">
        <v>677.56897742885178</v>
      </c>
      <c r="F1133" s="9">
        <v>433.28837996253009</v>
      </c>
      <c r="G1133" s="9">
        <v>1049.6394234989739</v>
      </c>
      <c r="H1133" s="9">
        <v>348.20534276028201</v>
      </c>
      <c r="I1133" s="9">
        <v>2105.4854401819971</v>
      </c>
      <c r="J1133" s="9">
        <v>3941.9723199214914</v>
      </c>
      <c r="K1133" s="9">
        <v>765.81127344098491</v>
      </c>
      <c r="L1133" s="20" t="s">
        <v>131</v>
      </c>
    </row>
    <row r="1134" spans="1:12" s="73" customFormat="1" ht="20.100000000000001" customHeight="1" x14ac:dyDescent="0.25">
      <c r="A1134" s="327"/>
      <c r="B1134" s="322"/>
      <c r="C1134" s="10">
        <v>14569</v>
      </c>
      <c r="D1134" s="107">
        <v>16348</v>
      </c>
      <c r="E1134" s="10">
        <f t="shared" ref="E1134:K1134" si="635">E1133/14.06*19.53*1.039</f>
        <v>977.88094539286692</v>
      </c>
      <c r="F1134" s="10">
        <f>F1133/14.06*19.53*1.039*1.15</f>
        <v>719.12991068203496</v>
      </c>
      <c r="G1134" s="10">
        <f t="shared" si="635"/>
        <v>1514.8603698884367</v>
      </c>
      <c r="H1134" s="10">
        <v>775.95</v>
      </c>
      <c r="I1134" s="10">
        <f t="shared" si="635"/>
        <v>3038.6782177793611</v>
      </c>
      <c r="J1134" s="10">
        <f t="shared" si="635"/>
        <v>5689.1323943798952</v>
      </c>
      <c r="K1134" s="10">
        <f t="shared" si="635"/>
        <v>1105.2339717599025</v>
      </c>
      <c r="L1134" s="26" t="s">
        <v>131</v>
      </c>
    </row>
    <row r="1135" spans="1:12" s="73" customFormat="1" ht="20.100000000000001" customHeight="1" x14ac:dyDescent="0.25">
      <c r="A1135" s="327"/>
      <c r="B1135" s="322"/>
      <c r="C1135" s="16">
        <f>C1134*0.0214</f>
        <v>311.77659999999997</v>
      </c>
      <c r="D1135" s="16">
        <f>D1134*0.0214</f>
        <v>349.84719999999999</v>
      </c>
      <c r="E1135" s="16">
        <f t="shared" ref="E1135:J1135" si="636">E1134*0.0214</f>
        <v>20.926652231407353</v>
      </c>
      <c r="F1135" s="16">
        <f t="shared" si="636"/>
        <v>15.389380088595548</v>
      </c>
      <c r="G1135" s="16">
        <f t="shared" si="636"/>
        <v>32.418011915612546</v>
      </c>
      <c r="H1135" s="16">
        <f t="shared" si="636"/>
        <v>16.605329999999999</v>
      </c>
      <c r="I1135" s="16">
        <f t="shared" si="636"/>
        <v>65.027713860478329</v>
      </c>
      <c r="J1135" s="16">
        <f t="shared" si="636"/>
        <v>121.74743323972974</v>
      </c>
      <c r="K1135" s="16" t="s">
        <v>131</v>
      </c>
      <c r="L1135" s="15" t="s">
        <v>131</v>
      </c>
    </row>
    <row r="1136" spans="1:12" s="73" customFormat="1" ht="20.100000000000001" hidden="1" customHeight="1" x14ac:dyDescent="0.25">
      <c r="A1136" s="327"/>
      <c r="B1136" s="322"/>
      <c r="C1136" s="16">
        <f>23375/681.5</f>
        <v>34.299339691856197</v>
      </c>
      <c r="D1136" s="16">
        <f>21897/358</f>
        <v>61.16480446927374</v>
      </c>
      <c r="E1136" s="16">
        <f>19530/681.8</f>
        <v>28.644763860369611</v>
      </c>
      <c r="F1136" s="16">
        <f>20705/2/681.8</f>
        <v>15.184071575242008</v>
      </c>
      <c r="G1136" s="16">
        <f>20400/681.8</f>
        <v>29.920797887943682</v>
      </c>
      <c r="H1136" s="16">
        <f>F1136</f>
        <v>15.184071575242008</v>
      </c>
      <c r="I1136" s="16">
        <f>22233/681.8</f>
        <v>32.609269580522152</v>
      </c>
      <c r="J1136" s="16">
        <f>18674/681.8</f>
        <v>27.389263713699034</v>
      </c>
      <c r="K1136" s="16" t="s">
        <v>131</v>
      </c>
      <c r="L1136" s="15" t="s">
        <v>131</v>
      </c>
    </row>
    <row r="1137" spans="1:12" s="73" customFormat="1" ht="20.100000000000001" hidden="1" customHeight="1" thickBot="1" x14ac:dyDescent="0.3">
      <c r="A1137" s="327"/>
      <c r="B1137" s="322"/>
      <c r="C1137" s="18">
        <f>(1/682.2)*84902.76*1.2*P4</f>
        <v>184.97860177253156</v>
      </c>
      <c r="D1137" s="18">
        <f>(1/682.2)*72167.04*1.2*P4</f>
        <v>157.23114482099706</v>
      </c>
      <c r="E1137" s="18">
        <f>(1/682.2)*56601.84*1.2*P4</f>
        <v>123.31906784835435</v>
      </c>
      <c r="F1137" s="18">
        <f>(1/682.2)*42451.38*1.2*P4</f>
        <v>92.489300886265781</v>
      </c>
      <c r="G1137" s="19">
        <f>(1/682.2)*42451.38*1.2*P4</f>
        <v>92.489300886265781</v>
      </c>
      <c r="H1137" s="19">
        <f>(1/682.2)*42451.38*1.2*P4</f>
        <v>92.489300886265781</v>
      </c>
      <c r="I1137" s="19">
        <f>(1/682.2)*55893.96*1.2*P4</f>
        <v>121.77680170031938</v>
      </c>
      <c r="J1137" s="19">
        <f>(1/682.2)*69337.56*1.2*P4</f>
        <v>151.06652479988887</v>
      </c>
      <c r="K1137" s="18" t="s">
        <v>131</v>
      </c>
      <c r="L1137" s="34" t="s">
        <v>131</v>
      </c>
    </row>
    <row r="1138" spans="1:12" s="73" customFormat="1" ht="20.100000000000001" customHeight="1" thickBot="1" x14ac:dyDescent="0.3">
      <c r="A1138" s="327"/>
      <c r="B1138" s="323"/>
      <c r="C1138" s="18">
        <f>C1137+C1136</f>
        <v>219.27794146438777</v>
      </c>
      <c r="D1138" s="18">
        <f t="shared" ref="D1138:J1138" si="637">D1137+D1136</f>
        <v>218.39594929027081</v>
      </c>
      <c r="E1138" s="18">
        <f t="shared" si="637"/>
        <v>151.96383170872397</v>
      </c>
      <c r="F1138" s="18">
        <f t="shared" si="637"/>
        <v>107.6733724615078</v>
      </c>
      <c r="G1138" s="18">
        <f t="shared" si="637"/>
        <v>122.41009877420946</v>
      </c>
      <c r="H1138" s="18">
        <f t="shared" si="637"/>
        <v>107.6733724615078</v>
      </c>
      <c r="I1138" s="18">
        <f t="shared" si="637"/>
        <v>154.38607128084152</v>
      </c>
      <c r="J1138" s="18">
        <f t="shared" si="637"/>
        <v>178.45578851358789</v>
      </c>
      <c r="K1138" s="18" t="s">
        <v>131</v>
      </c>
      <c r="L1138" s="34" t="s">
        <v>131</v>
      </c>
    </row>
    <row r="1139" spans="1:12" s="73" customFormat="1" ht="20.100000000000001" customHeight="1" thickBot="1" x14ac:dyDescent="0.3">
      <c r="A1139" s="328"/>
      <c r="B1139" s="259" t="s">
        <v>212</v>
      </c>
      <c r="C1139" s="36">
        <f>SUM(C1134:C1137)</f>
        <v>15100.054541464386</v>
      </c>
      <c r="D1139" s="36">
        <f t="shared" ref="D1139:J1139" si="638">SUM(D1134:D1137)</f>
        <v>16916.243149290272</v>
      </c>
      <c r="E1139" s="36">
        <f t="shared" si="638"/>
        <v>1150.7714293329982</v>
      </c>
      <c r="F1139" s="36">
        <f t="shared" si="638"/>
        <v>842.19266323213833</v>
      </c>
      <c r="G1139" s="36">
        <f t="shared" si="638"/>
        <v>1669.6884805782588</v>
      </c>
      <c r="H1139" s="36">
        <f t="shared" si="638"/>
        <v>900.22870246150785</v>
      </c>
      <c r="I1139" s="36">
        <f t="shared" si="638"/>
        <v>3258.0920029206814</v>
      </c>
      <c r="J1139" s="36">
        <f t="shared" si="638"/>
        <v>5989.3356161332122</v>
      </c>
      <c r="K1139" s="36" t="s">
        <v>131</v>
      </c>
      <c r="L1139" s="37" t="s">
        <v>131</v>
      </c>
    </row>
    <row r="1140" spans="1:12" s="81" customFormat="1" ht="20.100000000000001" hidden="1" customHeight="1" thickBot="1" x14ac:dyDescent="0.3">
      <c r="A1140" s="327" t="s">
        <v>1095</v>
      </c>
      <c r="B1140" s="321" t="s">
        <v>107</v>
      </c>
      <c r="C1140" s="9">
        <v>4095.8672530523113</v>
      </c>
      <c r="D1140" s="9">
        <v>7655.8194446511625</v>
      </c>
      <c r="E1140" s="9">
        <v>675.97835349526326</v>
      </c>
      <c r="F1140" s="9">
        <v>387.27300627503581</v>
      </c>
      <c r="G1140" s="9"/>
      <c r="H1140" s="9">
        <v>297.72054648922682</v>
      </c>
      <c r="I1140" s="9"/>
      <c r="J1140" s="9">
        <v>2697.9693826399166</v>
      </c>
      <c r="K1140" s="9">
        <v>606.60573380373899</v>
      </c>
      <c r="L1140" s="20" t="s">
        <v>131</v>
      </c>
    </row>
    <row r="1141" spans="1:12" s="81" customFormat="1" ht="20.100000000000001" customHeight="1" x14ac:dyDescent="0.25">
      <c r="A1141" s="327"/>
      <c r="B1141" s="322"/>
      <c r="C1141" s="10">
        <v>14569</v>
      </c>
      <c r="D1141" s="10">
        <f t="shared" ref="D1141:K1141" si="639">D1140/14.06*19.53*1.039</f>
        <v>11049.029996475436</v>
      </c>
      <c r="E1141" s="10">
        <f t="shared" si="639"/>
        <v>975.58532548145297</v>
      </c>
      <c r="F1141" s="10">
        <f t="shared" si="639"/>
        <v>558.92005997446347</v>
      </c>
      <c r="G1141" s="10" t="s">
        <v>131</v>
      </c>
      <c r="H1141" s="10">
        <f t="shared" si="639"/>
        <v>429.67617934417132</v>
      </c>
      <c r="I1141" s="10" t="s">
        <v>131</v>
      </c>
      <c r="J1141" s="10">
        <f t="shared" si="639"/>
        <v>3893.7627583664948</v>
      </c>
      <c r="K1141" s="10">
        <f t="shared" si="639"/>
        <v>875.4653890791833</v>
      </c>
      <c r="L1141" s="26" t="s">
        <v>131</v>
      </c>
    </row>
    <row r="1142" spans="1:12" s="81" customFormat="1" ht="20.100000000000001" customHeight="1" x14ac:dyDescent="0.25">
      <c r="A1142" s="327"/>
      <c r="B1142" s="322"/>
      <c r="C1142" s="16">
        <f>C1141*0.0214</f>
        <v>311.77659999999997</v>
      </c>
      <c r="D1142" s="16">
        <f t="shared" ref="D1142:K1142" si="640">D1141*0.0214</f>
        <v>236.44924192457432</v>
      </c>
      <c r="E1142" s="16">
        <f t="shared" si="640"/>
        <v>20.877525965303093</v>
      </c>
      <c r="F1142" s="16">
        <f t="shared" si="640"/>
        <v>11.960889283453518</v>
      </c>
      <c r="G1142" s="16" t="s">
        <v>131</v>
      </c>
      <c r="H1142" s="16">
        <f t="shared" si="640"/>
        <v>9.1950702379652665</v>
      </c>
      <c r="I1142" s="16" t="s">
        <v>131</v>
      </c>
      <c r="J1142" s="16">
        <f t="shared" si="640"/>
        <v>83.326523029042988</v>
      </c>
      <c r="K1142" s="16">
        <f t="shared" si="640"/>
        <v>18.734959326294522</v>
      </c>
      <c r="L1142" s="15" t="s">
        <v>131</v>
      </c>
    </row>
    <row r="1143" spans="1:12" s="81" customFormat="1" ht="20.100000000000001" hidden="1" customHeight="1" x14ac:dyDescent="0.25">
      <c r="A1143" s="327"/>
      <c r="B1143" s="322"/>
      <c r="C1143" s="16">
        <f>30360/1663.1</f>
        <v>18.255065840899526</v>
      </c>
      <c r="D1143" s="16">
        <f>27079/582</f>
        <v>46.527491408934708</v>
      </c>
      <c r="E1143" s="16">
        <f>22236/1663.1</f>
        <v>13.37021225422404</v>
      </c>
      <c r="F1143" s="16">
        <f>28083/2/1663.1</f>
        <v>8.4429679514160316</v>
      </c>
      <c r="G1143" s="16" t="s">
        <v>131</v>
      </c>
      <c r="H1143" s="16">
        <f>F1143</f>
        <v>8.4429679514160316</v>
      </c>
      <c r="I1143" s="16" t="s">
        <v>131</v>
      </c>
      <c r="J1143" s="16">
        <f>19923/1663.1</f>
        <v>11.979435993025074</v>
      </c>
      <c r="K1143" s="16">
        <f>J1143</f>
        <v>11.979435993025074</v>
      </c>
      <c r="L1143" s="15" t="s">
        <v>131</v>
      </c>
    </row>
    <row r="1144" spans="1:12" s="81" customFormat="1" ht="20.100000000000001" hidden="1" customHeight="1" thickBot="1" x14ac:dyDescent="0.3">
      <c r="A1144" s="327"/>
      <c r="B1144" s="322"/>
      <c r="C1144" s="18">
        <f>(1/1120.9)*130245.84*1.2*P4</f>
        <v>172.70638380421741</v>
      </c>
      <c r="D1144" s="18">
        <f>(1/1120.9)*110709.78*1.2*P4</f>
        <v>146.80150825209063</v>
      </c>
      <c r="E1144" s="18">
        <f>(1/1120.9)*86830.56*1.2*P4</f>
        <v>115.13758920281163</v>
      </c>
      <c r="F1144" s="18">
        <f>(1/1120.9)*65122.92*1.2*P4</f>
        <v>86.353191902108705</v>
      </c>
      <c r="G1144" s="19" t="s">
        <v>131</v>
      </c>
      <c r="H1144" s="19">
        <f>(1/1120.9)*65122.92*1.2*P4</f>
        <v>86.353191902108705</v>
      </c>
      <c r="I1144" s="19" t="s">
        <v>131</v>
      </c>
      <c r="J1144" s="19">
        <f>(1/1120.9)*106367.64*1.2*P4</f>
        <v>141.04381727807069</v>
      </c>
      <c r="K1144" s="18">
        <f>(1/1120.9)*45585.84*1.2*P4</f>
        <v>60.446963826849654</v>
      </c>
      <c r="L1144" s="34" t="s">
        <v>131</v>
      </c>
    </row>
    <row r="1145" spans="1:12" s="81" customFormat="1" ht="20.100000000000001" customHeight="1" thickBot="1" x14ac:dyDescent="0.3">
      <c r="A1145" s="327"/>
      <c r="B1145" s="323"/>
      <c r="C1145" s="18">
        <f>C1144+C1143</f>
        <v>190.96144964511694</v>
      </c>
      <c r="D1145" s="18">
        <f t="shared" ref="D1145:K1145" si="641">D1144+D1143</f>
        <v>193.32899966102534</v>
      </c>
      <c r="E1145" s="18">
        <f t="shared" si="641"/>
        <v>128.50780145703567</v>
      </c>
      <c r="F1145" s="18">
        <f t="shared" si="641"/>
        <v>94.796159853524742</v>
      </c>
      <c r="G1145" s="18" t="s">
        <v>131</v>
      </c>
      <c r="H1145" s="18">
        <f t="shared" si="641"/>
        <v>94.796159853524742</v>
      </c>
      <c r="I1145" s="18" t="s">
        <v>131</v>
      </c>
      <c r="J1145" s="18">
        <f t="shared" si="641"/>
        <v>153.02325327109577</v>
      </c>
      <c r="K1145" s="18">
        <f t="shared" si="641"/>
        <v>72.426399819874732</v>
      </c>
      <c r="L1145" s="34" t="s">
        <v>131</v>
      </c>
    </row>
    <row r="1146" spans="1:12" s="81" customFormat="1" ht="20.100000000000001" customHeight="1" thickBot="1" x14ac:dyDescent="0.3">
      <c r="A1146" s="328"/>
      <c r="B1146" s="265" t="s">
        <v>212</v>
      </c>
      <c r="C1146" s="36">
        <f>SUM(C1141:C1144)</f>
        <v>15071.738049645117</v>
      </c>
      <c r="D1146" s="36">
        <f t="shared" ref="D1146:K1146" si="642">SUM(D1141:D1144)</f>
        <v>11478.808238061036</v>
      </c>
      <c r="E1146" s="36">
        <f t="shared" si="642"/>
        <v>1124.9706529037917</v>
      </c>
      <c r="F1146" s="36">
        <f t="shared" si="642"/>
        <v>665.67710911144172</v>
      </c>
      <c r="G1146" s="36" t="s">
        <v>131</v>
      </c>
      <c r="H1146" s="36">
        <f t="shared" si="642"/>
        <v>533.66740943566128</v>
      </c>
      <c r="I1146" s="36" t="s">
        <v>131</v>
      </c>
      <c r="J1146" s="36">
        <f t="shared" si="642"/>
        <v>4130.112534666634</v>
      </c>
      <c r="K1146" s="36">
        <f t="shared" si="642"/>
        <v>966.62674822535257</v>
      </c>
      <c r="L1146" s="37" t="s">
        <v>131</v>
      </c>
    </row>
    <row r="1147" spans="1:12" s="73" customFormat="1" ht="20.100000000000001" hidden="1" customHeight="1" thickBot="1" x14ac:dyDescent="0.3">
      <c r="A1147" s="340" t="s">
        <v>1096</v>
      </c>
      <c r="B1147" s="321" t="s">
        <v>192</v>
      </c>
      <c r="C1147" s="9">
        <v>4577.0829951253481</v>
      </c>
      <c r="D1147" s="9">
        <v>6814.1064293749996</v>
      </c>
      <c r="E1147" s="9">
        <v>658.44722493036215</v>
      </c>
      <c r="F1147" s="9">
        <v>457.5705680129991</v>
      </c>
      <c r="G1147" s="9">
        <v>1056.8388667595173</v>
      </c>
      <c r="H1147" s="9">
        <v>532.29340529247906</v>
      </c>
      <c r="I1147" s="9">
        <v>1680.1975111420611</v>
      </c>
      <c r="J1147" s="9">
        <v>3015.3787525533894</v>
      </c>
      <c r="K1147" s="9">
        <v>501.13712674094711</v>
      </c>
      <c r="L1147" s="20" t="s">
        <v>131</v>
      </c>
    </row>
    <row r="1148" spans="1:12" s="73" customFormat="1" ht="20.100000000000001" customHeight="1" x14ac:dyDescent="0.25">
      <c r="A1148" s="327"/>
      <c r="B1148" s="322"/>
      <c r="C1148" s="10">
        <v>14569</v>
      </c>
      <c r="D1148" s="107">
        <v>16348.02</v>
      </c>
      <c r="E1148" s="10">
        <f t="shared" ref="E1148:K1148" si="643">E1147/14.06*19.53*1.039</f>
        <v>950.28405410403138</v>
      </c>
      <c r="F1148" s="10">
        <f t="shared" si="643"/>
        <v>660.37489102648169</v>
      </c>
      <c r="G1148" s="10">
        <f t="shared" si="643"/>
        <v>1525.2507487523537</v>
      </c>
      <c r="H1148" s="10">
        <f t="shared" si="643"/>
        <v>768.21636723835263</v>
      </c>
      <c r="I1148" s="10">
        <f t="shared" si="643"/>
        <v>2424.8942696241838</v>
      </c>
      <c r="J1148" s="10">
        <f t="shared" si="643"/>
        <v>4351.854236971908</v>
      </c>
      <c r="K1148" s="10">
        <f t="shared" si="643"/>
        <v>723.25100999825554</v>
      </c>
      <c r="L1148" s="26" t="s">
        <v>131</v>
      </c>
    </row>
    <row r="1149" spans="1:12" s="73" customFormat="1" ht="20.100000000000001" customHeight="1" x14ac:dyDescent="0.25">
      <c r="A1149" s="327"/>
      <c r="B1149" s="322"/>
      <c r="C1149" s="16">
        <f>C1148*0.0214</f>
        <v>311.77659999999997</v>
      </c>
      <c r="D1149" s="16">
        <f t="shared" ref="D1149:K1149" si="644">D1148*0.0214</f>
        <v>349.84762799999999</v>
      </c>
      <c r="E1149" s="16">
        <f t="shared" si="644"/>
        <v>20.336078757826272</v>
      </c>
      <c r="F1149" s="16">
        <f t="shared" si="644"/>
        <v>14.132022667966707</v>
      </c>
      <c r="G1149" s="16">
        <f t="shared" si="644"/>
        <v>32.640366023300366</v>
      </c>
      <c r="H1149" s="16">
        <f t="shared" si="644"/>
        <v>16.439830258900745</v>
      </c>
      <c r="I1149" s="16">
        <f t="shared" si="644"/>
        <v>51.89273736995753</v>
      </c>
      <c r="J1149" s="16">
        <f t="shared" si="644"/>
        <v>93.129680671198827</v>
      </c>
      <c r="K1149" s="16">
        <f t="shared" si="644"/>
        <v>15.477571613962668</v>
      </c>
      <c r="L1149" s="15" t="s">
        <v>131</v>
      </c>
    </row>
    <row r="1150" spans="1:12" s="73" customFormat="1" ht="20.100000000000001" hidden="1" customHeight="1" x14ac:dyDescent="0.25">
      <c r="A1150" s="327"/>
      <c r="B1150" s="322"/>
      <c r="C1150" s="16">
        <f>29185/1509.3</f>
        <v>19.336778639104221</v>
      </c>
      <c r="D1150" s="16">
        <f>26207/503</f>
        <v>52.101391650099401</v>
      </c>
      <c r="E1150" s="16">
        <f>21812/1509.3</f>
        <v>14.451732591267476</v>
      </c>
      <c r="F1150" s="16">
        <f>27119/2/1509.3</f>
        <v>8.9839660769893328</v>
      </c>
      <c r="G1150" s="117">
        <v>15.09</v>
      </c>
      <c r="H1150" s="16">
        <f>F1150</f>
        <v>8.9839660769893328</v>
      </c>
      <c r="I1150" s="117">
        <v>17.329999999999998</v>
      </c>
      <c r="J1150" s="16">
        <f>19713/1509.3</f>
        <v>13.061021665672829</v>
      </c>
      <c r="K1150" s="16">
        <f>J1150</f>
        <v>13.061021665672829</v>
      </c>
      <c r="L1150" s="15" t="s">
        <v>131</v>
      </c>
    </row>
    <row r="1151" spans="1:12" s="73" customFormat="1" ht="20.100000000000001" hidden="1" customHeight="1" thickBot="1" x14ac:dyDescent="0.3">
      <c r="A1151" s="327"/>
      <c r="B1151" s="322"/>
      <c r="C1151" s="39">
        <f>(1/1509.3)*136535.16*1.2*P4</f>
        <v>134.45604442293569</v>
      </c>
      <c r="D1151" s="18">
        <f>(1/503)*47787*1.2*P4</f>
        <v>141.20600980851728</v>
      </c>
      <c r="E1151" s="18">
        <f>(1/1509.3)*91023.78*1.2*P4</f>
        <v>89.637697771207968</v>
      </c>
      <c r="F1151" s="18">
        <f>(1/1509.3)*68267.58*1.2*P4</f>
        <v>67.228022211467845</v>
      </c>
      <c r="G1151" s="118">
        <v>69.72</v>
      </c>
      <c r="H1151" s="19">
        <f>(1/1509.3)*68267.58*1.2*P4</f>
        <v>67.228022211467845</v>
      </c>
      <c r="I1151" s="118">
        <v>91.8</v>
      </c>
      <c r="J1151" s="19">
        <f>(1/1509.3)*111503.34*1.2*P4</f>
        <v>109.80540130722153</v>
      </c>
      <c r="K1151" s="18">
        <f>(1/1509.3)*47787*1.2*P4</f>
        <v>47.059314207701711</v>
      </c>
      <c r="L1151" s="34" t="s">
        <v>131</v>
      </c>
    </row>
    <row r="1152" spans="1:12" s="73" customFormat="1" ht="20.100000000000001" customHeight="1" thickBot="1" x14ac:dyDescent="0.3">
      <c r="A1152" s="327"/>
      <c r="B1152" s="323"/>
      <c r="C1152" s="39">
        <f>C1151+C1150</f>
        <v>153.7928230620399</v>
      </c>
      <c r="D1152" s="39">
        <f t="shared" ref="D1152:K1152" si="645">D1151+D1150</f>
        <v>193.30740145861668</v>
      </c>
      <c r="E1152" s="39">
        <f t="shared" si="645"/>
        <v>104.08943036247544</v>
      </c>
      <c r="F1152" s="39">
        <f t="shared" si="645"/>
        <v>76.211988288457178</v>
      </c>
      <c r="G1152" s="39">
        <f t="shared" si="645"/>
        <v>84.81</v>
      </c>
      <c r="H1152" s="39">
        <f t="shared" si="645"/>
        <v>76.211988288457178</v>
      </c>
      <c r="I1152" s="39">
        <f t="shared" si="645"/>
        <v>109.13</v>
      </c>
      <c r="J1152" s="39">
        <f t="shared" si="645"/>
        <v>122.86642297289436</v>
      </c>
      <c r="K1152" s="39">
        <f t="shared" si="645"/>
        <v>60.120335873374543</v>
      </c>
      <c r="L1152" s="34" t="s">
        <v>131</v>
      </c>
    </row>
    <row r="1153" spans="1:12" s="73" customFormat="1" ht="20.100000000000001" customHeight="1" thickBot="1" x14ac:dyDescent="0.3">
      <c r="A1153" s="328"/>
      <c r="B1153" s="259" t="s">
        <v>212</v>
      </c>
      <c r="C1153" s="91">
        <f>SUM(C1148:C1151)</f>
        <v>15034.569423062039</v>
      </c>
      <c r="D1153" s="91">
        <f t="shared" ref="D1153:K1153" si="646">SUM(D1148:D1151)</f>
        <v>16891.175029458616</v>
      </c>
      <c r="E1153" s="91">
        <f t="shared" si="646"/>
        <v>1074.7095632243331</v>
      </c>
      <c r="F1153" s="91">
        <f t="shared" si="646"/>
        <v>750.71890198290555</v>
      </c>
      <c r="G1153" s="91">
        <f t="shared" si="646"/>
        <v>1642.7011147756541</v>
      </c>
      <c r="H1153" s="91">
        <f t="shared" si="646"/>
        <v>860.86818578571058</v>
      </c>
      <c r="I1153" s="91">
        <f t="shared" si="646"/>
        <v>2585.9170069941415</v>
      </c>
      <c r="J1153" s="91">
        <f t="shared" si="646"/>
        <v>4567.8503406160016</v>
      </c>
      <c r="K1153" s="91">
        <f t="shared" si="646"/>
        <v>798.84891748559278</v>
      </c>
      <c r="L1153" s="37" t="s">
        <v>131</v>
      </c>
    </row>
    <row r="1154" spans="1:12" s="81" customFormat="1" ht="20.100000000000001" hidden="1" customHeight="1" thickBot="1" x14ac:dyDescent="0.3">
      <c r="A1154" s="327" t="s">
        <v>1097</v>
      </c>
      <c r="B1154" s="321" t="s">
        <v>193</v>
      </c>
      <c r="C1154" s="9">
        <v>4431.8890988884905</v>
      </c>
      <c r="D1154" s="9">
        <v>8257.6805015180289</v>
      </c>
      <c r="E1154" s="9">
        <v>610.23821692362867</v>
      </c>
      <c r="F1154" s="9">
        <v>424.05530555754763</v>
      </c>
      <c r="G1154" s="9">
        <v>979.45427457870221</v>
      </c>
      <c r="H1154" s="9">
        <v>493.11733166009321</v>
      </c>
      <c r="I1154" s="9">
        <v>1557.176231552528</v>
      </c>
      <c r="J1154" s="9">
        <v>2278.4786280387239</v>
      </c>
      <c r="K1154" s="9">
        <v>461.92102674793841</v>
      </c>
      <c r="L1154" s="20" t="s">
        <v>131</v>
      </c>
    </row>
    <row r="1155" spans="1:12" s="81" customFormat="1" ht="20.100000000000001" customHeight="1" x14ac:dyDescent="0.25">
      <c r="A1155" s="327"/>
      <c r="B1155" s="322"/>
      <c r="C1155" s="10">
        <v>14569</v>
      </c>
      <c r="D1155" s="10">
        <f t="shared" ref="D1155:K1155" si="647">D1154/14.06*19.53*1.039</f>
        <v>11917.647773985656</v>
      </c>
      <c r="E1155" s="10">
        <f t="shared" si="647"/>
        <v>880.70786054073176</v>
      </c>
      <c r="F1155" s="10">
        <f t="shared" si="647"/>
        <v>612.00500157346528</v>
      </c>
      <c r="G1155" s="10">
        <f t="shared" si="647"/>
        <v>1413.5677752375827</v>
      </c>
      <c r="H1155" s="10">
        <f t="shared" si="647"/>
        <v>711.67668316693914</v>
      </c>
      <c r="I1155" s="10">
        <f t="shared" si="647"/>
        <v>2247.3475264941312</v>
      </c>
      <c r="J1155" s="10">
        <f t="shared" si="647"/>
        <v>3288.345406985386</v>
      </c>
      <c r="K1155" s="10">
        <f t="shared" si="647"/>
        <v>666.65355909177367</v>
      </c>
      <c r="L1155" s="26" t="s">
        <v>131</v>
      </c>
    </row>
    <row r="1156" spans="1:12" s="81" customFormat="1" ht="20.100000000000001" customHeight="1" x14ac:dyDescent="0.25">
      <c r="A1156" s="327"/>
      <c r="B1156" s="322"/>
      <c r="C1156" s="16">
        <f>C1155*0.0214</f>
        <v>311.77659999999997</v>
      </c>
      <c r="D1156" s="16">
        <f t="shared" ref="D1156:K1156" si="648">D1155*0.0214</f>
        <v>255.03766236329304</v>
      </c>
      <c r="E1156" s="16">
        <f t="shared" si="648"/>
        <v>18.847148215571657</v>
      </c>
      <c r="F1156" s="16">
        <f t="shared" si="648"/>
        <v>13.096907033672156</v>
      </c>
      <c r="G1156" s="16">
        <f t="shared" si="648"/>
        <v>30.250350390084268</v>
      </c>
      <c r="H1156" s="16">
        <f t="shared" si="648"/>
        <v>15.229881019772497</v>
      </c>
      <c r="I1156" s="16">
        <f t="shared" si="648"/>
        <v>48.093237066974403</v>
      </c>
      <c r="J1156" s="16">
        <f t="shared" si="648"/>
        <v>70.370591709487258</v>
      </c>
      <c r="K1156" s="16">
        <f t="shared" si="648"/>
        <v>14.266386164563956</v>
      </c>
      <c r="L1156" s="15" t="s">
        <v>131</v>
      </c>
    </row>
    <row r="1157" spans="1:12" s="81" customFormat="1" ht="20.100000000000001" hidden="1" customHeight="1" x14ac:dyDescent="0.25">
      <c r="A1157" s="327"/>
      <c r="B1157" s="322"/>
      <c r="C1157" s="16">
        <f>30011/1795.7</f>
        <v>16.712702567243973</v>
      </c>
      <c r="D1157" s="16">
        <f>26819/417</f>
        <v>64.314148681055158</v>
      </c>
      <c r="E1157" s="16">
        <f>22602/1795.7</f>
        <v>12.586734978003006</v>
      </c>
      <c r="F1157" s="16">
        <f>28915/2/1795.7</f>
        <v>8.05117781366598</v>
      </c>
      <c r="G1157" s="16">
        <f>25697/1795.7</f>
        <v>14.310296820181545</v>
      </c>
      <c r="H1157" s="16">
        <f>F1157</f>
        <v>8.05117781366598</v>
      </c>
      <c r="I1157" s="16">
        <f>37767/1795.7</f>
        <v>21.031909561730799</v>
      </c>
      <c r="J1157" s="16">
        <f>19861/1795.7</f>
        <v>11.060310742328896</v>
      </c>
      <c r="K1157" s="16">
        <f>J1157</f>
        <v>11.060310742328896</v>
      </c>
      <c r="L1157" s="15" t="s">
        <v>131</v>
      </c>
    </row>
    <row r="1158" spans="1:12" s="81" customFormat="1" ht="20.100000000000001" hidden="1" customHeight="1" thickBot="1" x14ac:dyDescent="0.3">
      <c r="A1158" s="327"/>
      <c r="B1158" s="322"/>
      <c r="C1158" s="18">
        <f>(1/1292.4)*186995.58*1.2*P4</f>
        <v>215.05314140609875</v>
      </c>
      <c r="D1158" s="18">
        <f>(1/1292.4)*158946.6*1.2*P4</f>
        <v>182.79558076088546</v>
      </c>
      <c r="E1158" s="18">
        <f>(1/1292.4)*124663.38*1.2*P4</f>
        <v>143.36836992244534</v>
      </c>
      <c r="F1158" s="18">
        <f>(1/1292.4)*93498.3*1.2*P4</f>
        <v>107.52715722548012</v>
      </c>
      <c r="G1158" s="18">
        <f>(1/1292.4)*93498.3*1.2*P4</f>
        <v>107.52715722548012</v>
      </c>
      <c r="H1158" s="18">
        <f>(1/1292.4)*93498.3*1.2*P4</f>
        <v>107.52715722548012</v>
      </c>
      <c r="I1158" s="19">
        <f>(1/1292.4)*123105.84*1.2*P4</f>
        <v>141.57713041900013</v>
      </c>
      <c r="J1158" s="19">
        <f>(1/1292.4)*152713.38*1.2*P4</f>
        <v>175.6271036125201</v>
      </c>
      <c r="K1158" s="18">
        <f>(1/1292.4)*65448.3*1.2*P4</f>
        <v>75.268423535405347</v>
      </c>
      <c r="L1158" s="34" t="s">
        <v>131</v>
      </c>
    </row>
    <row r="1159" spans="1:12" s="81" customFormat="1" ht="20.100000000000001" customHeight="1" thickBot="1" x14ac:dyDescent="0.3">
      <c r="A1159" s="327"/>
      <c r="B1159" s="323"/>
      <c r="C1159" s="18">
        <f>C1158+C1157</f>
        <v>231.76584397334273</v>
      </c>
      <c r="D1159" s="18">
        <f t="shared" ref="D1159:K1159" si="649">D1158+D1157</f>
        <v>247.1097294419406</v>
      </c>
      <c r="E1159" s="18">
        <f t="shared" si="649"/>
        <v>155.95510490044833</v>
      </c>
      <c r="F1159" s="18">
        <f t="shared" si="649"/>
        <v>115.57833503914611</v>
      </c>
      <c r="G1159" s="18">
        <f t="shared" si="649"/>
        <v>121.83745404566167</v>
      </c>
      <c r="H1159" s="18">
        <f t="shared" si="649"/>
        <v>115.57833503914611</v>
      </c>
      <c r="I1159" s="18">
        <f t="shared" si="649"/>
        <v>162.60903998073093</v>
      </c>
      <c r="J1159" s="18">
        <f t="shared" si="649"/>
        <v>186.68741435484901</v>
      </c>
      <c r="K1159" s="18">
        <f t="shared" si="649"/>
        <v>86.328734277734242</v>
      </c>
      <c r="L1159" s="34" t="s">
        <v>131</v>
      </c>
    </row>
    <row r="1160" spans="1:12" s="81" customFormat="1" ht="20.100000000000001" customHeight="1" thickBot="1" x14ac:dyDescent="0.3">
      <c r="A1160" s="328"/>
      <c r="B1160" s="265" t="s">
        <v>212</v>
      </c>
      <c r="C1160" s="36">
        <f>SUM(C1155:C1158)</f>
        <v>15112.542443973342</v>
      </c>
      <c r="D1160" s="36">
        <f t="shared" ref="D1160:K1160" si="650">SUM(D1155:D1158)</f>
        <v>12419.795165790889</v>
      </c>
      <c r="E1160" s="36">
        <f t="shared" si="650"/>
        <v>1055.5101136567519</v>
      </c>
      <c r="F1160" s="36">
        <f t="shared" si="650"/>
        <v>740.68024364628354</v>
      </c>
      <c r="G1160" s="36">
        <f t="shared" si="650"/>
        <v>1565.6555796733287</v>
      </c>
      <c r="H1160" s="36">
        <f t="shared" si="650"/>
        <v>842.4848992258577</v>
      </c>
      <c r="I1160" s="36">
        <f t="shared" si="650"/>
        <v>2458.0498035418368</v>
      </c>
      <c r="J1160" s="36">
        <f t="shared" si="650"/>
        <v>3545.4034130497221</v>
      </c>
      <c r="K1160" s="36">
        <f t="shared" si="650"/>
        <v>767.24867953407181</v>
      </c>
      <c r="L1160" s="37" t="s">
        <v>131</v>
      </c>
    </row>
    <row r="1161" spans="1:12" s="53" customFormat="1" ht="20.100000000000001" customHeight="1" thickBot="1" x14ac:dyDescent="0.3">
      <c r="A1161" s="311" t="s">
        <v>1098</v>
      </c>
      <c r="B1161" s="312"/>
      <c r="C1161" s="312"/>
      <c r="D1161" s="312"/>
      <c r="E1161" s="312"/>
      <c r="F1161" s="312"/>
      <c r="G1161" s="312"/>
      <c r="H1161" s="312"/>
      <c r="I1161" s="312"/>
      <c r="J1161" s="312"/>
      <c r="K1161" s="312"/>
      <c r="L1161" s="313"/>
    </row>
    <row r="1162" spans="1:12" s="53" customFormat="1" ht="20.100000000000001" hidden="1" customHeight="1" thickBot="1" x14ac:dyDescent="0.3">
      <c r="A1162" s="327" t="s">
        <v>1099</v>
      </c>
      <c r="B1162" s="321" t="s">
        <v>194</v>
      </c>
      <c r="C1162" s="36">
        <v>5018.5888528301894</v>
      </c>
      <c r="D1162" s="170">
        <v>11470.4</v>
      </c>
      <c r="E1162" s="9">
        <v>814.04953018867946</v>
      </c>
      <c r="F1162" s="9">
        <v>465.90647547169812</v>
      </c>
      <c r="G1162" s="9">
        <v>2053.0121264150944</v>
      </c>
      <c r="H1162" s="9">
        <v>340.55106792452835</v>
      </c>
      <c r="I1162" s="9">
        <v>3734.9015037735853</v>
      </c>
      <c r="J1162" s="9">
        <v>3480.3118018867926</v>
      </c>
      <c r="K1162" s="9">
        <v>759.60667358490571</v>
      </c>
      <c r="L1162" s="119" t="s">
        <v>131</v>
      </c>
    </row>
    <row r="1163" spans="1:12" s="53" customFormat="1" ht="20.100000000000001" customHeight="1" x14ac:dyDescent="0.25">
      <c r="A1163" s="327"/>
      <c r="B1163" s="322"/>
      <c r="C1163" s="35">
        <f>C1162/14.06*19.53*1.039*1.15</f>
        <v>8329.3656612663635</v>
      </c>
      <c r="D1163" s="35">
        <f t="shared" ref="D1163:K1163" si="651">D1162/14.06*19.53*1.039*1.15</f>
        <v>19037.45428899004</v>
      </c>
      <c r="E1163" s="35">
        <f t="shared" si="651"/>
        <v>1351.0802343371463</v>
      </c>
      <c r="F1163" s="35">
        <f t="shared" si="651"/>
        <v>773.26625311557677</v>
      </c>
      <c r="G1163" s="35">
        <f t="shared" si="651"/>
        <v>3407.3898479015202</v>
      </c>
      <c r="H1163" s="35">
        <f t="shared" si="651"/>
        <v>565.21353995326683</v>
      </c>
      <c r="I1163" s="35">
        <f t="shared" si="651"/>
        <v>6198.8262529615167</v>
      </c>
      <c r="J1163" s="35">
        <f t="shared" si="651"/>
        <v>5776.2830276060449</v>
      </c>
      <c r="K1163" s="35">
        <f t="shared" si="651"/>
        <v>1260.7212761529172</v>
      </c>
      <c r="L1163" s="169" t="s">
        <v>131</v>
      </c>
    </row>
    <row r="1164" spans="1:12" s="53" customFormat="1" ht="20.100000000000001" customHeight="1" x14ac:dyDescent="0.25">
      <c r="A1164" s="327"/>
      <c r="B1164" s="322"/>
      <c r="C1164" s="35">
        <f>C1163*0.0214</f>
        <v>178.24842515110018</v>
      </c>
      <c r="D1164" s="16">
        <f t="shared" ref="D1164:K1164" si="652">D1163*0.0214</f>
        <v>407.40152178438683</v>
      </c>
      <c r="E1164" s="16">
        <f t="shared" si="652"/>
        <v>28.913117014814929</v>
      </c>
      <c r="F1164" s="16">
        <f t="shared" si="652"/>
        <v>16.547897816673341</v>
      </c>
      <c r="G1164" s="16">
        <f t="shared" si="652"/>
        <v>72.918142745092524</v>
      </c>
      <c r="H1164" s="16">
        <f t="shared" si="652"/>
        <v>12.095569754999909</v>
      </c>
      <c r="I1164" s="16">
        <f t="shared" si="652"/>
        <v>132.65488181337645</v>
      </c>
      <c r="J1164" s="16">
        <f t="shared" si="652"/>
        <v>123.61245679076936</v>
      </c>
      <c r="K1164" s="16">
        <f t="shared" si="652"/>
        <v>26.979435309672425</v>
      </c>
      <c r="L1164" s="120" t="s">
        <v>131</v>
      </c>
    </row>
    <row r="1165" spans="1:12" s="53" customFormat="1" ht="20.100000000000001" hidden="1" customHeight="1" x14ac:dyDescent="0.25">
      <c r="A1165" s="327"/>
      <c r="B1165" s="322"/>
      <c r="C1165" s="16">
        <f>19125/628.2</f>
        <v>30.444126074498566</v>
      </c>
      <c r="D1165" s="16">
        <f>17763/620</f>
        <v>28.65</v>
      </c>
      <c r="E1165" s="16">
        <f>15582/628.2</f>
        <v>24.804202483285575</v>
      </c>
      <c r="F1165" s="16">
        <f>17791/2/628.2</f>
        <v>14.160299267749123</v>
      </c>
      <c r="G1165" s="16">
        <f>16665/628.2</f>
        <v>26.528175740210123</v>
      </c>
      <c r="H1165" s="16">
        <f>F1165</f>
        <v>14.160299267749123</v>
      </c>
      <c r="I1165" s="16">
        <f>20888/628.2</f>
        <v>33.250557147405281</v>
      </c>
      <c r="J1165" s="16">
        <f>14793/628.2</f>
        <v>23.54823304680038</v>
      </c>
      <c r="K1165" s="16">
        <f>J1165</f>
        <v>23.54823304680038</v>
      </c>
      <c r="L1165" s="120" t="s">
        <v>131</v>
      </c>
    </row>
    <row r="1166" spans="1:12" s="53" customFormat="1" ht="20.100000000000001" hidden="1" customHeight="1" thickBot="1" x14ac:dyDescent="0.3">
      <c r="A1166" s="327"/>
      <c r="B1166" s="322"/>
      <c r="C1166" s="18">
        <f>(1/1685.5)*193360.38*1.2*P4</f>
        <v>170.51010939772985</v>
      </c>
      <c r="D1166" s="18">
        <f>(1/630)*67675.98*1.2*P4</f>
        <v>159.66341092060145</v>
      </c>
      <c r="E1166" s="18">
        <f>(1/1685.5)*128907.6*1.2*P4</f>
        <v>113.67400590647786</v>
      </c>
      <c r="F1166" s="19">
        <f>(1/1685.5)*96680.7*1.2*P4</f>
        <v>85.255504429858377</v>
      </c>
      <c r="G1166" s="19">
        <f>(1/1685.5)*96680.7*1.2*P4</f>
        <v>85.255504429858377</v>
      </c>
      <c r="H1166" s="19">
        <f>(1/1685.5)*96680.7*1.2*P4</f>
        <v>85.255504429858377</v>
      </c>
      <c r="I1166" s="19">
        <f>(1/1685.5)*127296*1.2*P4</f>
        <v>112.25285596715014</v>
      </c>
      <c r="J1166" s="19">
        <f>(1/1685.5)*157911.3*1.2*P4</f>
        <v>139.2502075044419</v>
      </c>
      <c r="K1166" s="18">
        <f>(1/1685.5)*67675.98*1.2*P4</f>
        <v>59.678403369907407</v>
      </c>
      <c r="L1166" s="121" t="s">
        <v>131</v>
      </c>
    </row>
    <row r="1167" spans="1:12" s="53" customFormat="1" ht="20.100000000000001" customHeight="1" thickBot="1" x14ac:dyDescent="0.3">
      <c r="A1167" s="327"/>
      <c r="B1167" s="323"/>
      <c r="C1167" s="17">
        <f>C1166+C1165</f>
        <v>200.95423547222842</v>
      </c>
      <c r="D1167" s="17">
        <f t="shared" ref="D1167:K1167" si="653">D1166+D1165</f>
        <v>188.31341092060146</v>
      </c>
      <c r="E1167" s="17">
        <f t="shared" si="653"/>
        <v>138.47820838976344</v>
      </c>
      <c r="F1167" s="17">
        <f t="shared" si="653"/>
        <v>99.415803697607501</v>
      </c>
      <c r="G1167" s="17">
        <f t="shared" si="653"/>
        <v>111.78368017006849</v>
      </c>
      <c r="H1167" s="17">
        <f t="shared" si="653"/>
        <v>99.415803697607501</v>
      </c>
      <c r="I1167" s="17">
        <f t="shared" si="653"/>
        <v>145.50341311455543</v>
      </c>
      <c r="J1167" s="17">
        <f t="shared" si="653"/>
        <v>162.79844055124229</v>
      </c>
      <c r="K1167" s="17">
        <f t="shared" si="653"/>
        <v>83.226636416707791</v>
      </c>
      <c r="L1167" s="121" t="s">
        <v>131</v>
      </c>
    </row>
    <row r="1168" spans="1:12" s="53" customFormat="1" ht="20.100000000000001" customHeight="1" thickBot="1" x14ac:dyDescent="0.3">
      <c r="A1168" s="328"/>
      <c r="B1168" s="259" t="s">
        <v>212</v>
      </c>
      <c r="C1168" s="268">
        <f>SUM(C1163:C1166)</f>
        <v>8708.568321889692</v>
      </c>
      <c r="D1168" s="268">
        <f t="shared" ref="D1168:K1168" si="654">SUM(D1163:D1166)</f>
        <v>19633.169221695032</v>
      </c>
      <c r="E1168" s="268">
        <f t="shared" si="654"/>
        <v>1518.4715597417246</v>
      </c>
      <c r="F1168" s="268">
        <f t="shared" si="654"/>
        <v>889.2299546298575</v>
      </c>
      <c r="G1168" s="268">
        <f t="shared" si="654"/>
        <v>3592.091670816681</v>
      </c>
      <c r="H1168" s="268">
        <f t="shared" si="654"/>
        <v>676.7249134058743</v>
      </c>
      <c r="I1168" s="268">
        <f t="shared" si="654"/>
        <v>6476.9845478894476</v>
      </c>
      <c r="J1168" s="268">
        <f t="shared" si="654"/>
        <v>6062.6939249480565</v>
      </c>
      <c r="K1168" s="268">
        <f t="shared" si="654"/>
        <v>1370.9273478792973</v>
      </c>
      <c r="L1168" s="122" t="s">
        <v>131</v>
      </c>
    </row>
    <row r="1169" spans="1:12" s="53" customFormat="1" ht="20.100000000000001" hidden="1" customHeight="1" thickBot="1" x14ac:dyDescent="0.3">
      <c r="A1169" s="327" t="s">
        <v>1100</v>
      </c>
      <c r="B1169" s="321" t="s">
        <v>195</v>
      </c>
      <c r="C1169" s="9">
        <v>15447.9</v>
      </c>
      <c r="D1169" s="170">
        <v>11470.4</v>
      </c>
      <c r="E1169" s="9">
        <v>1322.1324215053764</v>
      </c>
      <c r="F1169" s="9">
        <v>706.6883795698925</v>
      </c>
      <c r="G1169" s="9" t="s">
        <v>131</v>
      </c>
      <c r="H1169" s="9">
        <v>682.90742258064529</v>
      </c>
      <c r="I1169" s="9">
        <v>6468.3046580645168</v>
      </c>
      <c r="J1169" s="9">
        <v>8123.244605376346</v>
      </c>
      <c r="K1169" s="9" t="s">
        <v>131</v>
      </c>
      <c r="L1169" s="20" t="s">
        <v>131</v>
      </c>
    </row>
    <row r="1170" spans="1:12" s="53" customFormat="1" ht="20.100000000000001" customHeight="1" x14ac:dyDescent="0.25">
      <c r="A1170" s="327"/>
      <c r="B1170" s="322"/>
      <c r="C1170" s="10">
        <f>C1169/12.79*19.53*1.039</f>
        <v>24508.497966614548</v>
      </c>
      <c r="D1170" s="10">
        <f>D1169/12.79*19.53*1.039*1.15</f>
        <v>20927.80354207975</v>
      </c>
      <c r="E1170" s="10">
        <f t="shared" ref="E1170:J1170" si="655">E1169/12.79*19.53*1.039*1.15</f>
        <v>2412.2373739258169</v>
      </c>
      <c r="F1170" s="10">
        <f t="shared" si="655"/>
        <v>1289.3565676096209</v>
      </c>
      <c r="G1170" s="10" t="s">
        <v>131</v>
      </c>
      <c r="H1170" s="10">
        <f t="shared" si="655"/>
        <v>1245.9680897959777</v>
      </c>
      <c r="I1170" s="10">
        <f t="shared" si="655"/>
        <v>11801.454974045677</v>
      </c>
      <c r="J1170" s="10">
        <f t="shared" si="655"/>
        <v>14820.901383175416</v>
      </c>
      <c r="K1170" s="10" t="s">
        <v>131</v>
      </c>
      <c r="L1170" s="26" t="s">
        <v>131</v>
      </c>
    </row>
    <row r="1171" spans="1:12" s="53" customFormat="1" ht="20.100000000000001" customHeight="1" x14ac:dyDescent="0.25">
      <c r="A1171" s="327"/>
      <c r="B1171" s="322"/>
      <c r="C1171" s="16">
        <f>C1170*0.0214</f>
        <v>524.48185648555125</v>
      </c>
      <c r="D1171" s="16">
        <f t="shared" ref="D1171:J1171" si="656">D1170*0.0214</f>
        <v>447.85499580050663</v>
      </c>
      <c r="E1171" s="16">
        <f t="shared" si="656"/>
        <v>51.621879802012479</v>
      </c>
      <c r="F1171" s="16">
        <f t="shared" si="656"/>
        <v>27.592230546845887</v>
      </c>
      <c r="G1171" s="16" t="s">
        <v>131</v>
      </c>
      <c r="H1171" s="16">
        <f t="shared" si="656"/>
        <v>26.663717121633923</v>
      </c>
      <c r="I1171" s="16">
        <f t="shared" si="656"/>
        <v>252.55113644457748</v>
      </c>
      <c r="J1171" s="16">
        <f t="shared" si="656"/>
        <v>317.1672895999539</v>
      </c>
      <c r="K1171" s="16" t="s">
        <v>131</v>
      </c>
      <c r="L1171" s="15" t="s">
        <v>131</v>
      </c>
    </row>
    <row r="1172" spans="1:12" s="53" customFormat="1" ht="20.100000000000001" hidden="1" customHeight="1" x14ac:dyDescent="0.25">
      <c r="A1172" s="327"/>
      <c r="B1172" s="322"/>
      <c r="C1172" s="16">
        <f>16068/244.2</f>
        <v>65.798525798525802</v>
      </c>
      <c r="D1172" s="16">
        <f>15494/244.2</f>
        <v>63.447993447993454</v>
      </c>
      <c r="E1172" s="16">
        <f>14523/244.2</f>
        <v>59.471744471744472</v>
      </c>
      <c r="F1172" s="16">
        <f>14616/2/244.2</f>
        <v>29.926289926289929</v>
      </c>
      <c r="G1172" s="23" t="s">
        <v>131</v>
      </c>
      <c r="H1172" s="16">
        <f>F1172</f>
        <v>29.926289926289929</v>
      </c>
      <c r="I1172" s="16">
        <f>14835/244.2</f>
        <v>60.749385749385752</v>
      </c>
      <c r="J1172" s="16">
        <f>14246/244.2</f>
        <v>58.337428337428342</v>
      </c>
      <c r="K1172" s="16" t="s">
        <v>131</v>
      </c>
      <c r="L1172" s="15" t="s">
        <v>131</v>
      </c>
    </row>
    <row r="1173" spans="1:12" s="53" customFormat="1" ht="20.100000000000001" hidden="1" customHeight="1" thickBot="1" x14ac:dyDescent="0.3">
      <c r="A1173" s="327"/>
      <c r="B1173" s="322"/>
      <c r="C1173" s="18">
        <f>(1/1628.1)*138458.88*1.2*P4</f>
        <v>126.40118253364754</v>
      </c>
      <c r="D1173" s="18">
        <f>(1/1628.1)*48460.2*1.2*P4</f>
        <v>44.240041417474025</v>
      </c>
      <c r="E1173" s="18">
        <f>(1/1628.1)*92305.92*1.2*P4</f>
        <v>84.26745502243169</v>
      </c>
      <c r="F1173" s="123">
        <f>(1/1628.1)*69229.44*1.2*P4</f>
        <v>63.200591266823771</v>
      </c>
      <c r="G1173" s="24" t="s">
        <v>131</v>
      </c>
      <c r="H1173" s="65">
        <f>(1/1628.1)*69229.44*1.2*P4</f>
        <v>63.200591266823771</v>
      </c>
      <c r="I1173" s="65">
        <f>(1/1628.1)*91152.3*1.2*P4</f>
        <v>83.2142980693026</v>
      </c>
      <c r="J1173" s="19">
        <f>(1/1628.1)*113075.16*1.2*P4</f>
        <v>103.22800487178142</v>
      </c>
      <c r="K1173" s="35" t="s">
        <v>131</v>
      </c>
      <c r="L1173" s="34" t="s">
        <v>131</v>
      </c>
    </row>
    <row r="1174" spans="1:12" s="53" customFormat="1" ht="20.100000000000001" customHeight="1" thickBot="1" x14ac:dyDescent="0.3">
      <c r="A1174" s="327"/>
      <c r="B1174" s="323"/>
      <c r="C1174" s="18">
        <f>C1173+C1172</f>
        <v>192.19970833217334</v>
      </c>
      <c r="D1174" s="18">
        <f t="shared" ref="D1174:I1174" si="657">D1173+D1172</f>
        <v>107.68803486546747</v>
      </c>
      <c r="E1174" s="18">
        <f t="shared" si="657"/>
        <v>143.73919949417615</v>
      </c>
      <c r="F1174" s="18">
        <f t="shared" si="657"/>
        <v>93.126881193113704</v>
      </c>
      <c r="G1174" s="18" t="s">
        <v>131</v>
      </c>
      <c r="H1174" s="18">
        <f t="shared" si="657"/>
        <v>93.126881193113704</v>
      </c>
      <c r="I1174" s="18">
        <f t="shared" si="657"/>
        <v>143.96368381868837</v>
      </c>
      <c r="J1174" s="18">
        <f>J1173+J1172</f>
        <v>161.56543320920977</v>
      </c>
      <c r="K1174" s="10" t="s">
        <v>131</v>
      </c>
      <c r="L1174" s="34" t="s">
        <v>131</v>
      </c>
    </row>
    <row r="1175" spans="1:12" s="53" customFormat="1" ht="20.100000000000001" customHeight="1" thickBot="1" x14ac:dyDescent="0.3">
      <c r="A1175" s="328"/>
      <c r="B1175" s="259" t="s">
        <v>212</v>
      </c>
      <c r="C1175" s="36">
        <f>SUM(C1170:C1173)</f>
        <v>25225.179531432277</v>
      </c>
      <c r="D1175" s="36">
        <f t="shared" ref="D1175:J1175" si="658">SUM(D1170:D1173)</f>
        <v>21483.346572745722</v>
      </c>
      <c r="E1175" s="36">
        <f t="shared" si="658"/>
        <v>2607.5984532220054</v>
      </c>
      <c r="F1175" s="36">
        <f t="shared" si="658"/>
        <v>1410.0756793495805</v>
      </c>
      <c r="G1175" s="36" t="s">
        <v>131</v>
      </c>
      <c r="H1175" s="36">
        <f t="shared" si="658"/>
        <v>1365.7586881107252</v>
      </c>
      <c r="I1175" s="36">
        <f t="shared" si="658"/>
        <v>12197.969794308943</v>
      </c>
      <c r="J1175" s="36">
        <f t="shared" si="658"/>
        <v>15299.634105984582</v>
      </c>
      <c r="K1175" s="36" t="s">
        <v>131</v>
      </c>
      <c r="L1175" s="37" t="s">
        <v>131</v>
      </c>
    </row>
    <row r="1176" spans="1:12" s="81" customFormat="1" ht="20.100000000000001" hidden="1" customHeight="1" thickBot="1" x14ac:dyDescent="0.3">
      <c r="A1176" s="327" t="s">
        <v>1101</v>
      </c>
      <c r="B1176" s="321" t="s">
        <v>108</v>
      </c>
      <c r="C1176" s="9">
        <v>15447.9</v>
      </c>
      <c r="D1176" s="170">
        <v>11470.4</v>
      </c>
      <c r="E1176" s="9">
        <v>769.03465600513061</v>
      </c>
      <c r="F1176" s="9">
        <v>405.84183643173543</v>
      </c>
      <c r="G1176" s="9" t="s">
        <v>131</v>
      </c>
      <c r="H1176" s="9">
        <v>562.7616332117982</v>
      </c>
      <c r="I1176" s="9">
        <v>2408.999357866001</v>
      </c>
      <c r="J1176" s="9">
        <v>3186.4573949070036</v>
      </c>
      <c r="K1176" s="9" t="s">
        <v>131</v>
      </c>
      <c r="L1176" s="20" t="s">
        <v>131</v>
      </c>
    </row>
    <row r="1177" spans="1:12" s="81" customFormat="1" ht="20.100000000000001" customHeight="1" x14ac:dyDescent="0.25">
      <c r="A1177" s="327"/>
      <c r="B1177" s="322"/>
      <c r="C1177" s="7">
        <f>C1176/12.79*19.53*1.039</f>
        <v>24508.497966614548</v>
      </c>
      <c r="D1177" s="7">
        <f>D1176/12.79*19.53*1.039</f>
        <v>18198.090036591089</v>
      </c>
      <c r="E1177" s="7">
        <f t="shared" ref="E1177:J1177" si="659">E1176/12.79*19.53*1.039*1.15</f>
        <v>1403.1076682527423</v>
      </c>
      <c r="F1177" s="7">
        <f t="shared" si="659"/>
        <v>740.46050896221777</v>
      </c>
      <c r="G1177" s="7" t="s">
        <v>131</v>
      </c>
      <c r="H1177" s="7">
        <f t="shared" si="659"/>
        <v>1026.7614818032898</v>
      </c>
      <c r="I1177" s="7">
        <f t="shared" si="659"/>
        <v>4395.2316653661537</v>
      </c>
      <c r="J1177" s="7">
        <f t="shared" si="659"/>
        <v>5813.7078354565665</v>
      </c>
      <c r="K1177" s="7" t="s">
        <v>131</v>
      </c>
      <c r="L1177" s="8" t="s">
        <v>131</v>
      </c>
    </row>
    <row r="1178" spans="1:12" s="81" customFormat="1" ht="20.100000000000001" customHeight="1" x14ac:dyDescent="0.25">
      <c r="A1178" s="327"/>
      <c r="B1178" s="322"/>
      <c r="C1178" s="16">
        <f>C1177*0.0214</f>
        <v>524.48185648555125</v>
      </c>
      <c r="D1178" s="16">
        <f t="shared" ref="D1178:J1178" si="660">D1177*0.0214</f>
        <v>389.43912678304929</v>
      </c>
      <c r="E1178" s="16">
        <f t="shared" si="660"/>
        <v>30.026504100608683</v>
      </c>
      <c r="F1178" s="16">
        <f t="shared" si="660"/>
        <v>15.845854891791459</v>
      </c>
      <c r="G1178" s="16" t="s">
        <v>131</v>
      </c>
      <c r="H1178" s="16">
        <f t="shared" si="660"/>
        <v>21.972695710590401</v>
      </c>
      <c r="I1178" s="16">
        <f t="shared" si="660"/>
        <v>94.057957638835688</v>
      </c>
      <c r="J1178" s="16">
        <f t="shared" si="660"/>
        <v>124.41334767877052</v>
      </c>
      <c r="K1178" s="16" t="s">
        <v>131</v>
      </c>
      <c r="L1178" s="15" t="s">
        <v>131</v>
      </c>
    </row>
    <row r="1179" spans="1:12" s="81" customFormat="1" ht="20.100000000000001" hidden="1" customHeight="1" x14ac:dyDescent="0.25">
      <c r="A1179" s="327"/>
      <c r="B1179" s="322"/>
      <c r="C1179" s="16">
        <f>20067/740.4</f>
        <v>27.10291734197731</v>
      </c>
      <c r="D1179" s="16">
        <f>18462/390</f>
        <v>47.338461538461537</v>
      </c>
      <c r="E1179" s="16">
        <f>15892/740.4</f>
        <v>21.464073473797949</v>
      </c>
      <c r="F1179" s="16">
        <f>17168/2/740.4</f>
        <v>11.593733117233928</v>
      </c>
      <c r="G1179" s="16" t="s">
        <v>131</v>
      </c>
      <c r="H1179" s="16">
        <f>F1179</f>
        <v>11.593733117233928</v>
      </c>
      <c r="I1179" s="16">
        <f>18827/740.4</f>
        <v>25.428146947595895</v>
      </c>
      <c r="J1179" s="16">
        <f>14962/740.4</f>
        <v>20.207995678011887</v>
      </c>
      <c r="K1179" s="16" t="s">
        <v>131</v>
      </c>
      <c r="L1179" s="15" t="s">
        <v>131</v>
      </c>
    </row>
    <row r="1180" spans="1:12" s="81" customFormat="1" ht="20.100000000000001" hidden="1" customHeight="1" thickBot="1" x14ac:dyDescent="0.3">
      <c r="A1180" s="327"/>
      <c r="B1180" s="322"/>
      <c r="C1180" s="18">
        <f>(1/740.4)*86719.38*1.2*P4</f>
        <v>174.08492035511387</v>
      </c>
      <c r="D1180" s="18">
        <f>(1/740.4)*73711.32*1.2*P4</f>
        <v>147.97187516181864</v>
      </c>
      <c r="E1180" s="18">
        <f>(1/740.4)*57813.6*1.2*P4</f>
        <v>116.05797863686769</v>
      </c>
      <c r="F1180" s="18">
        <f>(1/740.4)*43360.2*1.2*P4</f>
        <v>87.043483977650752</v>
      </c>
      <c r="G1180" s="19" t="s">
        <v>131</v>
      </c>
      <c r="H1180" s="19">
        <f>(1/740.4)*43360.2*1.2*P4</f>
        <v>87.043483977650752</v>
      </c>
      <c r="I1180" s="19">
        <f>(1/740.4)*57090.42*1.2*P4</f>
        <v>114.60623010381299</v>
      </c>
      <c r="J1180" s="19">
        <f>(1/740.4)*70820.64*1.2*P4</f>
        <v>142.16897622997524</v>
      </c>
      <c r="K1180" s="18" t="s">
        <v>131</v>
      </c>
      <c r="L1180" s="34" t="s">
        <v>131</v>
      </c>
    </row>
    <row r="1181" spans="1:12" s="81" customFormat="1" ht="20.100000000000001" customHeight="1" thickBot="1" x14ac:dyDescent="0.3">
      <c r="A1181" s="327"/>
      <c r="B1181" s="323"/>
      <c r="C1181" s="64">
        <f>C1180+C1179</f>
        <v>201.18783769709117</v>
      </c>
      <c r="D1181" s="64">
        <f t="shared" ref="D1181:J1181" si="661">D1180+D1179</f>
        <v>195.31033670028017</v>
      </c>
      <c r="E1181" s="64">
        <f t="shared" si="661"/>
        <v>137.52205211066564</v>
      </c>
      <c r="F1181" s="64">
        <f t="shared" si="661"/>
        <v>98.637217094884676</v>
      </c>
      <c r="G1181" s="64" t="s">
        <v>131</v>
      </c>
      <c r="H1181" s="64">
        <f t="shared" si="661"/>
        <v>98.637217094884676</v>
      </c>
      <c r="I1181" s="64">
        <f t="shared" si="661"/>
        <v>140.03437705140888</v>
      </c>
      <c r="J1181" s="64">
        <f t="shared" si="661"/>
        <v>162.37697190798713</v>
      </c>
      <c r="K1181" s="18" t="s">
        <v>131</v>
      </c>
      <c r="L1181" s="34" t="s">
        <v>131</v>
      </c>
    </row>
    <row r="1182" spans="1:12" s="81" customFormat="1" ht="20.100000000000001" customHeight="1" thickBot="1" x14ac:dyDescent="0.3">
      <c r="A1182" s="328"/>
      <c r="B1182" s="265" t="s">
        <v>212</v>
      </c>
      <c r="C1182" s="133">
        <f>SUM(C1177:C1180)</f>
        <v>25234.167660797193</v>
      </c>
      <c r="D1182" s="133">
        <f t="shared" ref="D1182:J1182" si="662">SUM(D1177:D1180)</f>
        <v>18782.83950007442</v>
      </c>
      <c r="E1182" s="133">
        <f t="shared" si="662"/>
        <v>1570.6562244640168</v>
      </c>
      <c r="F1182" s="133">
        <f t="shared" si="662"/>
        <v>854.9435809488939</v>
      </c>
      <c r="G1182" s="133" t="s">
        <v>131</v>
      </c>
      <c r="H1182" s="133">
        <f t="shared" si="662"/>
        <v>1147.3713946087651</v>
      </c>
      <c r="I1182" s="133">
        <f t="shared" si="662"/>
        <v>4629.3240000563974</v>
      </c>
      <c r="J1182" s="133">
        <f t="shared" si="662"/>
        <v>6100.498155043324</v>
      </c>
      <c r="K1182" s="124" t="s">
        <v>131</v>
      </c>
      <c r="L1182" s="125" t="s">
        <v>131</v>
      </c>
    </row>
    <row r="1183" spans="1:12" s="53" customFormat="1" ht="20.100000000000001" customHeight="1" thickBot="1" x14ac:dyDescent="0.3">
      <c r="A1183" s="311" t="s">
        <v>1102</v>
      </c>
      <c r="B1183" s="312"/>
      <c r="C1183" s="312"/>
      <c r="D1183" s="312"/>
      <c r="E1183" s="312"/>
      <c r="F1183" s="312"/>
      <c r="G1183" s="312"/>
      <c r="H1183" s="312"/>
      <c r="I1183" s="312"/>
      <c r="J1183" s="312"/>
      <c r="K1183" s="312"/>
      <c r="L1183" s="313"/>
    </row>
    <row r="1184" spans="1:12" s="53" customFormat="1" ht="20.100000000000001" hidden="1" customHeight="1" x14ac:dyDescent="0.25">
      <c r="A1184" s="327" t="s">
        <v>1103</v>
      </c>
      <c r="B1184" s="321" t="s">
        <v>236</v>
      </c>
      <c r="C1184" s="10">
        <v>3610.2441652793377</v>
      </c>
      <c r="D1184" s="10">
        <v>6105.1529619230778</v>
      </c>
      <c r="E1184" s="10">
        <v>523.66612117153261</v>
      </c>
      <c r="F1184" s="10">
        <v>324.2413848466785</v>
      </c>
      <c r="G1184" s="10">
        <v>793.91169863383084</v>
      </c>
      <c r="H1184" s="10">
        <v>450.09142275301281</v>
      </c>
      <c r="I1184" s="10">
        <v>1199.1056123943918</v>
      </c>
      <c r="J1184" s="10">
        <v>1734.2745426126639</v>
      </c>
      <c r="K1184" s="10">
        <v>396.82812171992703</v>
      </c>
      <c r="L1184" s="132" t="s">
        <v>131</v>
      </c>
    </row>
    <row r="1185" spans="1:12" s="53" customFormat="1" ht="20.100000000000001" customHeight="1" x14ac:dyDescent="0.25">
      <c r="A1185" s="327"/>
      <c r="B1185" s="322"/>
      <c r="C1185" s="16">
        <f>C1184/13.19*19.53*1.039*1.15</f>
        <v>6387.1543369571527</v>
      </c>
      <c r="D1185" s="16">
        <v>11756.495051546392</v>
      </c>
      <c r="E1185" s="16">
        <f t="shared" ref="E1185:K1185" si="663">E1184/13.19*19.53*1.039</f>
        <v>805.61486891529603</v>
      </c>
      <c r="F1185" s="16">
        <f t="shared" si="663"/>
        <v>498.81722377951485</v>
      </c>
      <c r="G1185" s="16">
        <f t="shared" si="663"/>
        <v>1221.3642303121414</v>
      </c>
      <c r="H1185" s="16">
        <f t="shared" si="663"/>
        <v>692.42658228465712</v>
      </c>
      <c r="I1185" s="16">
        <f t="shared" si="663"/>
        <v>1844.7198924833137</v>
      </c>
      <c r="J1185" s="16">
        <f t="shared" si="663"/>
        <v>2668.0308345790081</v>
      </c>
      <c r="K1185" s="16">
        <f t="shared" si="663"/>
        <v>610.48561733590532</v>
      </c>
      <c r="L1185" s="128" t="s">
        <v>131</v>
      </c>
    </row>
    <row r="1186" spans="1:12" s="53" customFormat="1" ht="20.100000000000001" customHeight="1" x14ac:dyDescent="0.25">
      <c r="A1186" s="327"/>
      <c r="B1186" s="322"/>
      <c r="C1186" s="35">
        <f>C1185*0.0214</f>
        <v>136.68510281088305</v>
      </c>
      <c r="D1186" s="35">
        <f t="shared" ref="D1186:K1186" si="664">D1185*0.0214</f>
        <v>251.58899410309277</v>
      </c>
      <c r="E1186" s="35">
        <f t="shared" si="664"/>
        <v>17.240158194787334</v>
      </c>
      <c r="F1186" s="35">
        <f t="shared" si="664"/>
        <v>10.674688588881617</v>
      </c>
      <c r="G1186" s="35">
        <f t="shared" si="664"/>
        <v>26.137194528679824</v>
      </c>
      <c r="H1186" s="35">
        <f t="shared" si="664"/>
        <v>14.817928860891662</v>
      </c>
      <c r="I1186" s="35">
        <f t="shared" si="664"/>
        <v>39.477005699142914</v>
      </c>
      <c r="J1186" s="35">
        <f t="shared" si="664"/>
        <v>57.095859859990767</v>
      </c>
      <c r="K1186" s="35">
        <f t="shared" si="664"/>
        <v>13.064392210988373</v>
      </c>
      <c r="L1186" s="129" t="s">
        <v>131</v>
      </c>
    </row>
    <row r="1187" spans="1:12" s="53" customFormat="1" ht="20.100000000000001" hidden="1" customHeight="1" x14ac:dyDescent="0.25">
      <c r="A1187" s="327"/>
      <c r="B1187" s="322"/>
      <c r="C1187" s="16">
        <f>14170/2015.7</f>
        <v>7.0298159448330599</v>
      </c>
      <c r="D1187" s="16">
        <f>10589/504</f>
        <v>21.009920634920636</v>
      </c>
      <c r="E1187" s="16">
        <f>5858/2015.7</f>
        <v>2.9061864364736816</v>
      </c>
      <c r="F1187" s="16">
        <f>12946/2/2015.7</f>
        <v>3.2112913628020041</v>
      </c>
      <c r="G1187" s="16">
        <f>9333/2015.7</f>
        <v>4.6301532966215211</v>
      </c>
      <c r="H1187" s="16">
        <f>F1187</f>
        <v>3.2112913628020041</v>
      </c>
      <c r="I1187" s="16">
        <f>22881/2015.7</f>
        <v>11.3513915761274</v>
      </c>
      <c r="J1187" s="16">
        <f>2781/2015.7</f>
        <v>1.3796695936895371</v>
      </c>
      <c r="K1187" s="16">
        <f>J1187</f>
        <v>1.3796695936895371</v>
      </c>
      <c r="L1187" s="128" t="s">
        <v>131</v>
      </c>
    </row>
    <row r="1188" spans="1:12" s="53" customFormat="1" ht="20.100000000000001" hidden="1" customHeight="1" thickBot="1" x14ac:dyDescent="0.3">
      <c r="A1188" s="327"/>
      <c r="B1188" s="322"/>
      <c r="C1188" s="18">
        <f>(1/2015.7)*198707.22*1.2*P4</f>
        <v>146.52075593288473</v>
      </c>
      <c r="D1188" s="18">
        <f>(1/2015.7)*69547.68*1.2*P4</f>
        <v>51.282377394129753</v>
      </c>
      <c r="E1188" s="18">
        <f>(1/2015.7)*132471.48*1.2*P4</f>
        <v>97.680503955256498</v>
      </c>
      <c r="F1188" s="18">
        <f>(1/2015.7)*99354.12*1.2*P4</f>
        <v>73.260754025176027</v>
      </c>
      <c r="G1188" s="19">
        <f>(1/2015.7)*99354.12*1.2*P4</f>
        <v>73.260754025176027</v>
      </c>
      <c r="H1188" s="19">
        <f>(1/2015.7)*99354.12*1.2*P4</f>
        <v>73.260754025176027</v>
      </c>
      <c r="I1188" s="19">
        <f>(1/2015.7)*130816.02*1.2*P4</f>
        <v>96.459817305739406</v>
      </c>
      <c r="J1188" s="19">
        <f>(1/2015.7)*162277.92*1.2*P4</f>
        <v>119.65888058630277</v>
      </c>
      <c r="K1188" s="18">
        <f>(1/2015.7)*69547.68*1.2*P4</f>
        <v>51.282377394129753</v>
      </c>
      <c r="L1188" s="130" t="s">
        <v>131</v>
      </c>
    </row>
    <row r="1189" spans="1:12" s="53" customFormat="1" ht="20.100000000000001" customHeight="1" thickBot="1" x14ac:dyDescent="0.3">
      <c r="A1189" s="327"/>
      <c r="B1189" s="323"/>
      <c r="C1189" s="18">
        <f>C1188+C1187</f>
        <v>153.55057187771777</v>
      </c>
      <c r="D1189" s="18">
        <f t="shared" ref="D1189:K1189" si="665">D1188+D1187</f>
        <v>72.292298029050386</v>
      </c>
      <c r="E1189" s="18">
        <f t="shared" si="665"/>
        <v>100.58669039173017</v>
      </c>
      <c r="F1189" s="18">
        <f t="shared" si="665"/>
        <v>76.472045387978028</v>
      </c>
      <c r="G1189" s="18">
        <f t="shared" si="665"/>
        <v>77.890907321797542</v>
      </c>
      <c r="H1189" s="18">
        <f t="shared" si="665"/>
        <v>76.472045387978028</v>
      </c>
      <c r="I1189" s="18">
        <f t="shared" si="665"/>
        <v>107.8112088818668</v>
      </c>
      <c r="J1189" s="18">
        <f t="shared" si="665"/>
        <v>121.03855017999231</v>
      </c>
      <c r="K1189" s="18">
        <f t="shared" si="665"/>
        <v>52.662046987819288</v>
      </c>
      <c r="L1189" s="130" t="s">
        <v>131</v>
      </c>
    </row>
    <row r="1190" spans="1:12" s="53" customFormat="1" ht="20.100000000000001" customHeight="1" thickBot="1" x14ac:dyDescent="0.3">
      <c r="A1190" s="328"/>
      <c r="B1190" s="265" t="s">
        <v>212</v>
      </c>
      <c r="C1190" s="36">
        <f>SUM(C1185:C1188)</f>
        <v>6677.3900116457535</v>
      </c>
      <c r="D1190" s="36">
        <f t="shared" ref="D1190:K1190" si="666">SUM(D1185:D1188)</f>
        <v>12080.376343678534</v>
      </c>
      <c r="E1190" s="36">
        <f t="shared" si="666"/>
        <v>923.44171750181363</v>
      </c>
      <c r="F1190" s="36">
        <f t="shared" si="666"/>
        <v>585.96395775637461</v>
      </c>
      <c r="G1190" s="36">
        <f t="shared" si="666"/>
        <v>1325.3923321626189</v>
      </c>
      <c r="H1190" s="36">
        <f t="shared" si="666"/>
        <v>783.71655653352695</v>
      </c>
      <c r="I1190" s="36">
        <f t="shared" si="666"/>
        <v>1992.0081070643232</v>
      </c>
      <c r="J1190" s="36">
        <f t="shared" si="666"/>
        <v>2846.1652446189914</v>
      </c>
      <c r="K1190" s="36">
        <f t="shared" si="666"/>
        <v>676.21205653471293</v>
      </c>
      <c r="L1190" s="131" t="s">
        <v>131</v>
      </c>
    </row>
    <row r="1191" spans="1:12" s="53" customFormat="1" ht="20.100000000000001" hidden="1" customHeight="1" x14ac:dyDescent="0.25">
      <c r="A1191" s="327" t="s">
        <v>1104</v>
      </c>
      <c r="B1191" s="321" t="s">
        <v>237</v>
      </c>
      <c r="C1191" s="10">
        <v>3610.2441652793377</v>
      </c>
      <c r="D1191" s="10">
        <v>6105.1529619230778</v>
      </c>
      <c r="E1191" s="10">
        <v>523.66612117153261</v>
      </c>
      <c r="F1191" s="10">
        <v>324.2413848466785</v>
      </c>
      <c r="G1191" s="10">
        <v>793.91169863383084</v>
      </c>
      <c r="H1191" s="10">
        <v>450.09142275301281</v>
      </c>
      <c r="I1191" s="10">
        <v>1199.1056123943918</v>
      </c>
      <c r="J1191" s="10">
        <v>1734.2745426126639</v>
      </c>
      <c r="K1191" s="10">
        <v>396.82812171992703</v>
      </c>
      <c r="L1191" s="132" t="s">
        <v>131</v>
      </c>
    </row>
    <row r="1192" spans="1:12" s="53" customFormat="1" ht="20.100000000000001" customHeight="1" x14ac:dyDescent="0.25">
      <c r="A1192" s="327"/>
      <c r="B1192" s="322"/>
      <c r="C1192" s="16">
        <f>C1191/13.19*19.53*1.039*1.15</f>
        <v>6387.1543369571527</v>
      </c>
      <c r="D1192" s="16">
        <v>11756.495051546392</v>
      </c>
      <c r="E1192" s="16">
        <f t="shared" ref="E1192:K1192" si="667">E1191/13.19*19.53*1.039</f>
        <v>805.61486891529603</v>
      </c>
      <c r="F1192" s="16">
        <f t="shared" si="667"/>
        <v>498.81722377951485</v>
      </c>
      <c r="G1192" s="16">
        <f t="shared" si="667"/>
        <v>1221.3642303121414</v>
      </c>
      <c r="H1192" s="16">
        <f t="shared" si="667"/>
        <v>692.42658228465712</v>
      </c>
      <c r="I1192" s="16">
        <f t="shared" si="667"/>
        <v>1844.7198924833137</v>
      </c>
      <c r="J1192" s="16">
        <f t="shared" si="667"/>
        <v>2668.0308345790081</v>
      </c>
      <c r="K1192" s="16">
        <f t="shared" si="667"/>
        <v>610.48561733590532</v>
      </c>
      <c r="L1192" s="128" t="s">
        <v>131</v>
      </c>
    </row>
    <row r="1193" spans="1:12" s="53" customFormat="1" ht="20.100000000000001" customHeight="1" x14ac:dyDescent="0.25">
      <c r="A1193" s="327"/>
      <c r="B1193" s="322"/>
      <c r="C1193" s="35">
        <f>C1192*0.0214</f>
        <v>136.68510281088305</v>
      </c>
      <c r="D1193" s="35">
        <f t="shared" ref="D1193:K1193" si="668">D1192*0.0214</f>
        <v>251.58899410309277</v>
      </c>
      <c r="E1193" s="35">
        <f t="shared" si="668"/>
        <v>17.240158194787334</v>
      </c>
      <c r="F1193" s="35">
        <f t="shared" si="668"/>
        <v>10.674688588881617</v>
      </c>
      <c r="G1193" s="35">
        <f t="shared" si="668"/>
        <v>26.137194528679824</v>
      </c>
      <c r="H1193" s="35">
        <f t="shared" si="668"/>
        <v>14.817928860891662</v>
      </c>
      <c r="I1193" s="35">
        <f t="shared" si="668"/>
        <v>39.477005699142914</v>
      </c>
      <c r="J1193" s="35">
        <f t="shared" si="668"/>
        <v>57.095859859990767</v>
      </c>
      <c r="K1193" s="35">
        <f t="shared" si="668"/>
        <v>13.064392210988373</v>
      </c>
      <c r="L1193" s="129" t="s">
        <v>131</v>
      </c>
    </row>
    <row r="1194" spans="1:12" s="53" customFormat="1" ht="20.100000000000001" hidden="1" customHeight="1" x14ac:dyDescent="0.25">
      <c r="A1194" s="327"/>
      <c r="B1194" s="322"/>
      <c r="C1194" s="16">
        <f>14170/2015.7</f>
        <v>7.0298159448330599</v>
      </c>
      <c r="D1194" s="16">
        <f>10589/504</f>
        <v>21.009920634920636</v>
      </c>
      <c r="E1194" s="16">
        <f>5858/2015.7</f>
        <v>2.9061864364736816</v>
      </c>
      <c r="F1194" s="16">
        <f>12946/2/2015.7</f>
        <v>3.2112913628020041</v>
      </c>
      <c r="G1194" s="16">
        <f>9333/2015.7</f>
        <v>4.6301532966215211</v>
      </c>
      <c r="H1194" s="16">
        <f>F1194</f>
        <v>3.2112913628020041</v>
      </c>
      <c r="I1194" s="16">
        <f>22881/2015.7</f>
        <v>11.3513915761274</v>
      </c>
      <c r="J1194" s="16">
        <f>2781/2015.7</f>
        <v>1.3796695936895371</v>
      </c>
      <c r="K1194" s="16">
        <f>J1194</f>
        <v>1.3796695936895371</v>
      </c>
      <c r="L1194" s="128" t="s">
        <v>131</v>
      </c>
    </row>
    <row r="1195" spans="1:12" s="53" customFormat="1" ht="20.100000000000001" hidden="1" customHeight="1" thickBot="1" x14ac:dyDescent="0.3">
      <c r="A1195" s="327"/>
      <c r="B1195" s="322"/>
      <c r="C1195" s="18">
        <v>146.52075593288473</v>
      </c>
      <c r="D1195" s="18">
        <v>51.282377394129753</v>
      </c>
      <c r="E1195" s="18">
        <v>97.680503955256498</v>
      </c>
      <c r="F1195" s="18">
        <v>73.260754025176027</v>
      </c>
      <c r="G1195" s="19">
        <v>73.260754025176027</v>
      </c>
      <c r="H1195" s="19">
        <v>73.260754025176027</v>
      </c>
      <c r="I1195" s="19">
        <v>96.459817305739406</v>
      </c>
      <c r="J1195" s="19">
        <v>119.65888058630277</v>
      </c>
      <c r="K1195" s="18">
        <v>51.282377394129753</v>
      </c>
      <c r="L1195" s="130" t="s">
        <v>131</v>
      </c>
    </row>
    <row r="1196" spans="1:12" s="53" customFormat="1" ht="20.100000000000001" customHeight="1" thickBot="1" x14ac:dyDescent="0.3">
      <c r="A1196" s="327"/>
      <c r="B1196" s="323"/>
      <c r="C1196" s="18">
        <f>C1195+C1194</f>
        <v>153.55057187771777</v>
      </c>
      <c r="D1196" s="18">
        <f t="shared" ref="D1196:K1196" si="669">D1195+D1194</f>
        <v>72.292298029050386</v>
      </c>
      <c r="E1196" s="18">
        <f t="shared" si="669"/>
        <v>100.58669039173017</v>
      </c>
      <c r="F1196" s="18">
        <f t="shared" si="669"/>
        <v>76.472045387978028</v>
      </c>
      <c r="G1196" s="18">
        <f t="shared" si="669"/>
        <v>77.890907321797542</v>
      </c>
      <c r="H1196" s="18">
        <f t="shared" si="669"/>
        <v>76.472045387978028</v>
      </c>
      <c r="I1196" s="18">
        <f t="shared" si="669"/>
        <v>107.8112088818668</v>
      </c>
      <c r="J1196" s="18">
        <f t="shared" si="669"/>
        <v>121.03855017999231</v>
      </c>
      <c r="K1196" s="18">
        <f t="shared" si="669"/>
        <v>52.662046987819288</v>
      </c>
      <c r="L1196" s="130" t="s">
        <v>131</v>
      </c>
    </row>
    <row r="1197" spans="1:12" s="53" customFormat="1" ht="20.100000000000001" customHeight="1" thickBot="1" x14ac:dyDescent="0.3">
      <c r="A1197" s="328"/>
      <c r="B1197" s="265" t="s">
        <v>212</v>
      </c>
      <c r="C1197" s="36">
        <f>SUM(C1192:C1195)</f>
        <v>6677.3900116457535</v>
      </c>
      <c r="D1197" s="36">
        <f t="shared" ref="D1197:K1197" si="670">SUM(D1192:D1195)</f>
        <v>12080.376343678534</v>
      </c>
      <c r="E1197" s="36">
        <f t="shared" si="670"/>
        <v>923.44171750181363</v>
      </c>
      <c r="F1197" s="36">
        <f t="shared" si="670"/>
        <v>585.96395775637461</v>
      </c>
      <c r="G1197" s="36">
        <f t="shared" si="670"/>
        <v>1325.3923321626189</v>
      </c>
      <c r="H1197" s="36">
        <f t="shared" si="670"/>
        <v>783.71655653352695</v>
      </c>
      <c r="I1197" s="36">
        <f t="shared" si="670"/>
        <v>1992.0081070643232</v>
      </c>
      <c r="J1197" s="36">
        <f t="shared" si="670"/>
        <v>2846.1652446189914</v>
      </c>
      <c r="K1197" s="36">
        <f t="shared" si="670"/>
        <v>676.21205653471293</v>
      </c>
      <c r="L1197" s="131" t="s">
        <v>131</v>
      </c>
    </row>
    <row r="1198" spans="1:12" s="53" customFormat="1" ht="20.100000000000001" hidden="1" customHeight="1" x14ac:dyDescent="0.25">
      <c r="A1198" s="327" t="s">
        <v>1105</v>
      </c>
      <c r="B1198" s="321" t="s">
        <v>196</v>
      </c>
      <c r="C1198" s="35">
        <v>3131.2564363063229</v>
      </c>
      <c r="D1198" s="35">
        <v>5669.4061549999997</v>
      </c>
      <c r="E1198" s="35">
        <v>452.7688119784907</v>
      </c>
      <c r="F1198" s="35">
        <v>272.91358835527541</v>
      </c>
      <c r="G1198" s="35">
        <v>707.51252382718349</v>
      </c>
      <c r="H1198" s="35">
        <v>222.44579232338219</v>
      </c>
      <c r="I1198" s="35">
        <v>1429.0963443352493</v>
      </c>
      <c r="J1198" s="35">
        <v>1908.3806994251809</v>
      </c>
      <c r="K1198" s="35">
        <v>465.15163934730208</v>
      </c>
      <c r="L1198" s="21" t="s">
        <v>131</v>
      </c>
    </row>
    <row r="1199" spans="1:12" s="53" customFormat="1" ht="20.100000000000001" customHeight="1" x14ac:dyDescent="0.25">
      <c r="A1199" s="327"/>
      <c r="B1199" s="322"/>
      <c r="C1199" s="16">
        <f>C1198/13.19*19.53*1.039*1.15</f>
        <v>5539.7411398437835</v>
      </c>
      <c r="D1199" s="16">
        <v>13807.92</v>
      </c>
      <c r="E1199" s="16">
        <f t="shared" ref="E1199:K1199" si="671">E1198/13.19*19.53*1.039</f>
        <v>696.54551318874746</v>
      </c>
      <c r="F1199" s="16">
        <f t="shared" si="671"/>
        <v>419.85386455049974</v>
      </c>
      <c r="G1199" s="16">
        <f t="shared" si="671"/>
        <v>1088.446600027926</v>
      </c>
      <c r="H1199" s="16">
        <f t="shared" si="671"/>
        <v>342.21354137335896</v>
      </c>
      <c r="I1199" s="16">
        <f t="shared" si="671"/>
        <v>2198.5406684956215</v>
      </c>
      <c r="J1199" s="16">
        <f t="shared" si="671"/>
        <v>2935.8780429950689</v>
      </c>
      <c r="K1199" s="16">
        <f t="shared" si="671"/>
        <v>715.59541816485739</v>
      </c>
      <c r="L1199" s="15" t="s">
        <v>131</v>
      </c>
    </row>
    <row r="1200" spans="1:12" s="53" customFormat="1" ht="20.100000000000001" customHeight="1" x14ac:dyDescent="0.25">
      <c r="A1200" s="327"/>
      <c r="B1200" s="322"/>
      <c r="C1200" s="35">
        <f>C1199*0.0214</f>
        <v>118.55046039265696</v>
      </c>
      <c r="D1200" s="35">
        <f t="shared" ref="D1200:K1200" si="672">D1199*0.0214</f>
        <v>295.48948799999999</v>
      </c>
      <c r="E1200" s="35">
        <f t="shared" si="672"/>
        <v>14.906073982239194</v>
      </c>
      <c r="F1200" s="35">
        <f t="shared" si="672"/>
        <v>8.9848727013806933</v>
      </c>
      <c r="G1200" s="35">
        <f t="shared" si="672"/>
        <v>23.292757240597616</v>
      </c>
      <c r="H1200" s="35">
        <f t="shared" si="672"/>
        <v>7.3233697853898816</v>
      </c>
      <c r="I1200" s="35">
        <f t="shared" si="672"/>
        <v>47.0487703058063</v>
      </c>
      <c r="J1200" s="35">
        <f t="shared" si="672"/>
        <v>62.82779012009447</v>
      </c>
      <c r="K1200" s="35">
        <f t="shared" si="672"/>
        <v>15.313741948727948</v>
      </c>
      <c r="L1200" s="15" t="s">
        <v>131</v>
      </c>
    </row>
    <row r="1201" spans="1:12" s="53" customFormat="1" ht="20.100000000000001" hidden="1" customHeight="1" x14ac:dyDescent="0.25">
      <c r="A1201" s="327"/>
      <c r="B1201" s="322"/>
      <c r="C1201" s="16">
        <f>21325/2751.1</f>
        <v>7.7514448765948165</v>
      </c>
      <c r="D1201" s="16">
        <f>15897/963</f>
        <v>16.507788161993769</v>
      </c>
      <c r="E1201" s="16">
        <f>7886/2751.1</f>
        <v>2.8664897677292722</v>
      </c>
      <c r="F1201" s="16">
        <f>12628/2/2751.1</f>
        <v>2.2950819672131146</v>
      </c>
      <c r="G1201" s="16">
        <f>11395/2751.1</f>
        <v>4.1419795718076404</v>
      </c>
      <c r="H1201" s="16">
        <f>F1201</f>
        <v>2.2950819672131146</v>
      </c>
      <c r="I1201" s="16">
        <f>18792/2751.1</f>
        <v>6.8307222565519252</v>
      </c>
      <c r="J1201" s="16">
        <f>4060/2751.1</f>
        <v>1.4757733270328233</v>
      </c>
      <c r="K1201" s="16">
        <f>J1201</f>
        <v>1.4757733270328233</v>
      </c>
      <c r="L1201" s="15" t="s">
        <v>131</v>
      </c>
    </row>
    <row r="1202" spans="1:12" s="53" customFormat="1" ht="20.100000000000001" hidden="1" customHeight="1" thickBot="1" x14ac:dyDescent="0.3">
      <c r="A1202" s="327"/>
      <c r="B1202" s="322"/>
      <c r="C1202" s="18">
        <f>(1/1617.9)*138293.64*1.2*P4</f>
        <v>127.04627374253174</v>
      </c>
      <c r="D1202" s="18">
        <f>(1/963)*117549.9*1.2*P4</f>
        <v>181.42927949926215</v>
      </c>
      <c r="E1202" s="64">
        <f>(1/1617.9)*92195.76*1.2*P4</f>
        <v>84.697515828354483</v>
      </c>
      <c r="F1202" s="19">
        <f>(1/1617.9)*69146.82*1.2*P4</f>
        <v>63.523136871265869</v>
      </c>
      <c r="G1202" s="65">
        <f>(1/1617.9)*69146.82*1.2*P4</f>
        <v>63.523136871265869</v>
      </c>
      <c r="H1202" s="65">
        <f>(1/1617.9)*69146.82*1.2*P4</f>
        <v>63.523136871265869</v>
      </c>
      <c r="I1202" s="65">
        <f>(1/1617.9)*91043.16*1.2*P4</f>
        <v>83.638656323928672</v>
      </c>
      <c r="J1202" s="19">
        <f>(1/1617.9)*112939.5*1.2*P4</f>
        <v>103.75417577659148</v>
      </c>
      <c r="K1202" s="18">
        <f>(1/1617.9)*48403.08*1.2*P4</f>
        <v>44.466476923028871</v>
      </c>
      <c r="L1202" s="34" t="s">
        <v>131</v>
      </c>
    </row>
    <row r="1203" spans="1:12" s="53" customFormat="1" ht="20.100000000000001" customHeight="1" thickBot="1" x14ac:dyDescent="0.3">
      <c r="A1203" s="327"/>
      <c r="B1203" s="323"/>
      <c r="C1203" s="18">
        <f>C1202+C1201</f>
        <v>134.79771861912656</v>
      </c>
      <c r="D1203" s="18">
        <f t="shared" ref="D1203:K1203" si="673">D1202+D1201</f>
        <v>197.93706766125592</v>
      </c>
      <c r="E1203" s="18">
        <f t="shared" si="673"/>
        <v>87.56400559608376</v>
      </c>
      <c r="F1203" s="18">
        <f t="shared" si="673"/>
        <v>65.818218838478984</v>
      </c>
      <c r="G1203" s="18">
        <f t="shared" si="673"/>
        <v>67.665116443073515</v>
      </c>
      <c r="H1203" s="18">
        <f t="shared" si="673"/>
        <v>65.818218838478984</v>
      </c>
      <c r="I1203" s="18">
        <f t="shared" si="673"/>
        <v>90.469378580480594</v>
      </c>
      <c r="J1203" s="18">
        <f t="shared" si="673"/>
        <v>105.22994910362431</v>
      </c>
      <c r="K1203" s="18">
        <f t="shared" si="673"/>
        <v>45.942250250061697</v>
      </c>
      <c r="L1203" s="34" t="s">
        <v>131</v>
      </c>
    </row>
    <row r="1204" spans="1:12" s="53" customFormat="1" ht="20.100000000000001" customHeight="1" thickBot="1" x14ac:dyDescent="0.3">
      <c r="A1204" s="328"/>
      <c r="B1204" s="265" t="s">
        <v>212</v>
      </c>
      <c r="C1204" s="36">
        <f>SUM(C1199:C1202)</f>
        <v>5793.0893188555665</v>
      </c>
      <c r="D1204" s="36">
        <f t="shared" ref="D1204:K1204" si="674">SUM(D1199:D1202)</f>
        <v>14301.346555661255</v>
      </c>
      <c r="E1204" s="36">
        <f t="shared" si="674"/>
        <v>799.0155927670703</v>
      </c>
      <c r="F1204" s="36">
        <f t="shared" si="674"/>
        <v>494.65695609035942</v>
      </c>
      <c r="G1204" s="36">
        <f t="shared" si="674"/>
        <v>1179.4044737115973</v>
      </c>
      <c r="H1204" s="36">
        <f t="shared" si="674"/>
        <v>415.35512999722783</v>
      </c>
      <c r="I1204" s="36">
        <f t="shared" si="674"/>
        <v>2336.0588173819078</v>
      </c>
      <c r="J1204" s="36">
        <f t="shared" si="674"/>
        <v>3103.9357822187881</v>
      </c>
      <c r="K1204" s="36">
        <f t="shared" si="674"/>
        <v>776.85141036364701</v>
      </c>
      <c r="L1204" s="37" t="s">
        <v>131</v>
      </c>
    </row>
    <row r="1205" spans="1:12" s="81" customFormat="1" ht="20.100000000000001" hidden="1" customHeight="1" thickBot="1" x14ac:dyDescent="0.3">
      <c r="A1205" s="327" t="s">
        <v>1106</v>
      </c>
      <c r="B1205" s="321" t="s">
        <v>109</v>
      </c>
      <c r="C1205" s="35">
        <v>5216.229671176925</v>
      </c>
      <c r="D1205" s="35">
        <v>5651.5160567465837</v>
      </c>
      <c r="E1205" s="35">
        <v>1157.5911977333546</v>
      </c>
      <c r="F1205" s="35">
        <v>468.47732586249526</v>
      </c>
      <c r="G1205" s="35">
        <v>1147.0763663398482</v>
      </c>
      <c r="H1205" s="35">
        <v>650.1067735906521</v>
      </c>
      <c r="I1205" s="35">
        <v>1732.5155758067663</v>
      </c>
      <c r="J1205" s="35">
        <v>2505.7513877161869</v>
      </c>
      <c r="K1205" s="35">
        <v>573.35363706978865</v>
      </c>
      <c r="L1205" s="126" t="s">
        <v>131</v>
      </c>
    </row>
    <row r="1206" spans="1:12" s="81" customFormat="1" ht="20.100000000000001" customHeight="1" x14ac:dyDescent="0.25">
      <c r="A1206" s="327"/>
      <c r="B1206" s="322"/>
      <c r="C1206" s="10">
        <f>C1205/13.19*19.53*1.039*1.15</f>
        <v>9228.4240183085876</v>
      </c>
      <c r="D1206" s="16">
        <v>13807.92</v>
      </c>
      <c r="E1206" s="10">
        <f t="shared" ref="E1206:K1206" si="675">E1205/13.19*19.53*1.039</f>
        <v>1780.8535693184217</v>
      </c>
      <c r="F1206" s="10">
        <f t="shared" si="675"/>
        <v>720.71169817166174</v>
      </c>
      <c r="G1206" s="10">
        <f t="shared" si="675"/>
        <v>1764.6774139929723</v>
      </c>
      <c r="H1206" s="10">
        <f t="shared" si="675"/>
        <v>1000.1328365781826</v>
      </c>
      <c r="I1206" s="10">
        <f t="shared" si="675"/>
        <v>2665.3248168408554</v>
      </c>
      <c r="J1206" s="10">
        <f t="shared" si="675"/>
        <v>3854.880990263754</v>
      </c>
      <c r="K1206" s="10">
        <f t="shared" si="675"/>
        <v>882.05479884154045</v>
      </c>
      <c r="L1206" s="127" t="s">
        <v>131</v>
      </c>
    </row>
    <row r="1207" spans="1:12" s="81" customFormat="1" ht="20.100000000000001" customHeight="1" x14ac:dyDescent="0.25">
      <c r="A1207" s="327"/>
      <c r="B1207" s="322"/>
      <c r="C1207" s="16">
        <f>C1206*0.0214</f>
        <v>197.48827399180377</v>
      </c>
      <c r="D1207" s="16">
        <f t="shared" ref="D1207:K1207" si="676">D1206*0.0214</f>
        <v>295.48948799999999</v>
      </c>
      <c r="E1207" s="16">
        <f t="shared" si="676"/>
        <v>38.110266383414221</v>
      </c>
      <c r="F1207" s="16">
        <f t="shared" si="676"/>
        <v>15.423230340873561</v>
      </c>
      <c r="G1207" s="16">
        <f t="shared" si="676"/>
        <v>37.764096659449606</v>
      </c>
      <c r="H1207" s="16">
        <f t="shared" si="676"/>
        <v>21.402842702773107</v>
      </c>
      <c r="I1207" s="16">
        <f t="shared" si="676"/>
        <v>57.037951080394301</v>
      </c>
      <c r="J1207" s="16">
        <f t="shared" si="676"/>
        <v>82.494453191644325</v>
      </c>
      <c r="K1207" s="16">
        <f t="shared" si="676"/>
        <v>18.875972695208965</v>
      </c>
      <c r="L1207" s="128" t="s">
        <v>131</v>
      </c>
    </row>
    <row r="1208" spans="1:12" s="81" customFormat="1" ht="20.100000000000001" hidden="1" customHeight="1" x14ac:dyDescent="0.25">
      <c r="A1208" s="327"/>
      <c r="B1208" s="322"/>
      <c r="C1208" s="35">
        <f>10898/1540.1</f>
        <v>7.076163885461983</v>
      </c>
      <c r="D1208" s="35">
        <f>8162/404</f>
        <v>20.202970297029704</v>
      </c>
      <c r="E1208" s="35">
        <f>4547/1540.1</f>
        <v>2.9524056879423415</v>
      </c>
      <c r="F1208" s="35">
        <f>9962/2/1540.1</f>
        <v>3.2342055710668141</v>
      </c>
      <c r="G1208" s="35">
        <f>7201/1540.1</f>
        <v>4.6756704110122724</v>
      </c>
      <c r="H1208" s="35">
        <f>F1208</f>
        <v>3.2342055710668141</v>
      </c>
      <c r="I1208" s="35">
        <f>17553/1540.1</f>
        <v>11.397311862866049</v>
      </c>
      <c r="J1208" s="35">
        <f>2195/1540.1</f>
        <v>1.4252321277839102</v>
      </c>
      <c r="K1208" s="35">
        <f>J1208</f>
        <v>1.4252321277839102</v>
      </c>
      <c r="L1208" s="129" t="s">
        <v>131</v>
      </c>
    </row>
    <row r="1209" spans="1:12" s="81" customFormat="1" ht="20.100000000000001" hidden="1" customHeight="1" thickBot="1" x14ac:dyDescent="0.3">
      <c r="A1209" s="327"/>
      <c r="B1209" s="322"/>
      <c r="C1209" s="18">
        <f>(1/1540.1)*191006*1.2*P4</f>
        <v>184.33571504652804</v>
      </c>
      <c r="D1209" s="18">
        <f>(1/1540.1)*162355*1.2*P4</f>
        <v>156.68526128173494</v>
      </c>
      <c r="E1209" s="18">
        <f>(1/1540.1)*127338*1.2*P4</f>
        <v>122.89112008311147</v>
      </c>
      <c r="F1209" s="18">
        <f>(1/1540.1)*95504*1.2*P4</f>
        <v>92.168822601403178</v>
      </c>
      <c r="G1209" s="19">
        <f>(1/1540.1)*95504*1.2*P4</f>
        <v>92.168822601403178</v>
      </c>
      <c r="H1209" s="19">
        <f>(1/1540.1)*95504*1.2*P4</f>
        <v>92.168822601403178</v>
      </c>
      <c r="I1209" s="19">
        <f>(1/1540.1)*125746*1.2*P4</f>
        <v>121.35471568558432</v>
      </c>
      <c r="J1209" s="19">
        <f>(1/1540.1)*155989*1.2*P4</f>
        <v>150.54157384790457</v>
      </c>
      <c r="K1209" s="18">
        <f>(1/1540.1)*66852*1.2*P4</f>
        <v>64.517403758470905</v>
      </c>
      <c r="L1209" s="130" t="s">
        <v>131</v>
      </c>
    </row>
    <row r="1210" spans="1:12" s="81" customFormat="1" ht="20.100000000000001" customHeight="1" thickBot="1" x14ac:dyDescent="0.3">
      <c r="A1210" s="327"/>
      <c r="B1210" s="323"/>
      <c r="C1210" s="18">
        <f>C1209+C1208</f>
        <v>191.41187893199003</v>
      </c>
      <c r="D1210" s="18">
        <f t="shared" ref="D1210:K1210" si="677">D1209+D1208</f>
        <v>176.88823157876465</v>
      </c>
      <c r="E1210" s="18">
        <f t="shared" si="677"/>
        <v>125.84352577105382</v>
      </c>
      <c r="F1210" s="18">
        <f t="shared" si="677"/>
        <v>95.403028172469988</v>
      </c>
      <c r="G1210" s="18">
        <f t="shared" si="677"/>
        <v>96.844493012415455</v>
      </c>
      <c r="H1210" s="18">
        <f t="shared" si="677"/>
        <v>95.403028172469988</v>
      </c>
      <c r="I1210" s="18">
        <f t="shared" si="677"/>
        <v>132.75202754845037</v>
      </c>
      <c r="J1210" s="18">
        <f t="shared" si="677"/>
        <v>151.96680597568849</v>
      </c>
      <c r="K1210" s="18">
        <f t="shared" si="677"/>
        <v>65.94263588625482</v>
      </c>
      <c r="L1210" s="130" t="s">
        <v>131</v>
      </c>
    </row>
    <row r="1211" spans="1:12" s="81" customFormat="1" ht="20.100000000000001" customHeight="1" thickBot="1" x14ac:dyDescent="0.3">
      <c r="A1211" s="328"/>
      <c r="B1211" s="259" t="s">
        <v>212</v>
      </c>
      <c r="C1211" s="36">
        <f>SUM(C1206:C1209)</f>
        <v>9617.3241712323797</v>
      </c>
      <c r="D1211" s="36">
        <f t="shared" ref="D1211:K1211" si="678">SUM(D1206:D1209)</f>
        <v>14280.297719578764</v>
      </c>
      <c r="E1211" s="36">
        <f t="shared" si="678"/>
        <v>1944.8073614728896</v>
      </c>
      <c r="F1211" s="36">
        <f t="shared" si="678"/>
        <v>831.53795668500538</v>
      </c>
      <c r="G1211" s="36">
        <f t="shared" si="678"/>
        <v>1899.2860036648376</v>
      </c>
      <c r="H1211" s="36">
        <f t="shared" si="678"/>
        <v>1116.9387074534259</v>
      </c>
      <c r="I1211" s="36">
        <f t="shared" si="678"/>
        <v>2855.1147954696999</v>
      </c>
      <c r="J1211" s="36">
        <f t="shared" si="678"/>
        <v>4089.3422494310871</v>
      </c>
      <c r="K1211" s="36">
        <f t="shared" si="678"/>
        <v>966.87340742300421</v>
      </c>
      <c r="L1211" s="131" t="s">
        <v>131</v>
      </c>
    </row>
    <row r="1212" spans="1:12" s="81" customFormat="1" ht="20.100000000000001" hidden="1" customHeight="1" x14ac:dyDescent="0.25">
      <c r="A1212" s="327" t="s">
        <v>1107</v>
      </c>
      <c r="B1212" s="321" t="s">
        <v>110</v>
      </c>
      <c r="C1212" s="10">
        <v>3610.2441652793377</v>
      </c>
      <c r="D1212" s="10">
        <v>6105.1529619230778</v>
      </c>
      <c r="E1212" s="10">
        <v>523.66612117153261</v>
      </c>
      <c r="F1212" s="10">
        <v>324.2413848466785</v>
      </c>
      <c r="G1212" s="10">
        <v>793.91169863383084</v>
      </c>
      <c r="H1212" s="10">
        <v>450.09142275301281</v>
      </c>
      <c r="I1212" s="10">
        <v>1199.1056123943918</v>
      </c>
      <c r="J1212" s="10">
        <v>1734.2745426126639</v>
      </c>
      <c r="K1212" s="10">
        <v>396.82812171992703</v>
      </c>
      <c r="L1212" s="132" t="s">
        <v>131</v>
      </c>
    </row>
    <row r="1213" spans="1:12" s="81" customFormat="1" ht="20.100000000000001" customHeight="1" x14ac:dyDescent="0.25">
      <c r="A1213" s="327"/>
      <c r="B1213" s="322"/>
      <c r="C1213" s="16">
        <f>C1212/13.19*19.53*1.039*1.15</f>
        <v>6387.1543369571527</v>
      </c>
      <c r="D1213" s="16">
        <v>11756.495051546392</v>
      </c>
      <c r="E1213" s="16">
        <f t="shared" ref="E1213:K1213" si="679">E1212/13.19*19.53*1.039</f>
        <v>805.61486891529603</v>
      </c>
      <c r="F1213" s="16">
        <f t="shared" si="679"/>
        <v>498.81722377951485</v>
      </c>
      <c r="G1213" s="16">
        <f t="shared" si="679"/>
        <v>1221.3642303121414</v>
      </c>
      <c r="H1213" s="16">
        <f t="shared" si="679"/>
        <v>692.42658228465712</v>
      </c>
      <c r="I1213" s="16">
        <f t="shared" si="679"/>
        <v>1844.7198924833137</v>
      </c>
      <c r="J1213" s="16">
        <f t="shared" si="679"/>
        <v>2668.0308345790081</v>
      </c>
      <c r="K1213" s="16">
        <f t="shared" si="679"/>
        <v>610.48561733590532</v>
      </c>
      <c r="L1213" s="128" t="s">
        <v>131</v>
      </c>
    </row>
    <row r="1214" spans="1:12" s="81" customFormat="1" ht="20.100000000000001" customHeight="1" x14ac:dyDescent="0.25">
      <c r="A1214" s="327"/>
      <c r="B1214" s="322"/>
      <c r="C1214" s="35">
        <f>C1213*0.0214</f>
        <v>136.68510281088305</v>
      </c>
      <c r="D1214" s="35">
        <f t="shared" ref="D1214:K1214" si="680">D1213*0.0214</f>
        <v>251.58899410309277</v>
      </c>
      <c r="E1214" s="35">
        <f t="shared" si="680"/>
        <v>17.240158194787334</v>
      </c>
      <c r="F1214" s="35">
        <f t="shared" si="680"/>
        <v>10.674688588881617</v>
      </c>
      <c r="G1214" s="35">
        <f t="shared" si="680"/>
        <v>26.137194528679824</v>
      </c>
      <c r="H1214" s="35">
        <f t="shared" si="680"/>
        <v>14.817928860891662</v>
      </c>
      <c r="I1214" s="35">
        <f t="shared" si="680"/>
        <v>39.477005699142914</v>
      </c>
      <c r="J1214" s="35">
        <f t="shared" si="680"/>
        <v>57.095859859990767</v>
      </c>
      <c r="K1214" s="35">
        <f t="shared" si="680"/>
        <v>13.064392210988373</v>
      </c>
      <c r="L1214" s="129" t="s">
        <v>131</v>
      </c>
    </row>
    <row r="1215" spans="1:12" s="81" customFormat="1" ht="20.100000000000001" hidden="1" customHeight="1" x14ac:dyDescent="0.25">
      <c r="A1215" s="327"/>
      <c r="B1215" s="322"/>
      <c r="C1215" s="16">
        <f>14170/2015.7</f>
        <v>7.0298159448330599</v>
      </c>
      <c r="D1215" s="16">
        <f>10589/504</f>
        <v>21.009920634920636</v>
      </c>
      <c r="E1215" s="16">
        <f>5858/2015.7</f>
        <v>2.9061864364736816</v>
      </c>
      <c r="F1215" s="16">
        <f>12946/2/2015.7</f>
        <v>3.2112913628020041</v>
      </c>
      <c r="G1215" s="16">
        <f>9333/2015.7</f>
        <v>4.6301532966215211</v>
      </c>
      <c r="H1215" s="16">
        <f>F1215</f>
        <v>3.2112913628020041</v>
      </c>
      <c r="I1215" s="16">
        <f>22881/2015.7</f>
        <v>11.3513915761274</v>
      </c>
      <c r="J1215" s="16">
        <f>2781/2015.7</f>
        <v>1.3796695936895371</v>
      </c>
      <c r="K1215" s="16">
        <f>J1215</f>
        <v>1.3796695936895371</v>
      </c>
      <c r="L1215" s="128" t="s">
        <v>131</v>
      </c>
    </row>
    <row r="1216" spans="1:12" s="81" customFormat="1" ht="20.100000000000001" hidden="1" customHeight="1" thickBot="1" x14ac:dyDescent="0.3">
      <c r="A1216" s="327"/>
      <c r="B1216" s="322"/>
      <c r="C1216" s="18">
        <f>(1/2015.7)*198707.22*1.2*P4</f>
        <v>146.52075593288473</v>
      </c>
      <c r="D1216" s="18">
        <f>(1/2015.7)*69547.68*1.2*P4</f>
        <v>51.282377394129753</v>
      </c>
      <c r="E1216" s="18">
        <f>(1/2015.7)*132471.48*1.2*P4</f>
        <v>97.680503955256498</v>
      </c>
      <c r="F1216" s="18">
        <f>(1/2015.7)*99354.12*1.2*P4</f>
        <v>73.260754025176027</v>
      </c>
      <c r="G1216" s="19">
        <f>(1/2015.7)*99354.12*1.2*P4</f>
        <v>73.260754025176027</v>
      </c>
      <c r="H1216" s="19">
        <f>(1/2015.7)*99354.12*1.2*P4</f>
        <v>73.260754025176027</v>
      </c>
      <c r="I1216" s="19">
        <f>(1/2015.7)*130816.02*1.2*P4</f>
        <v>96.459817305739406</v>
      </c>
      <c r="J1216" s="19">
        <f>(1/2015.7)*162277.92*1.2*P4</f>
        <v>119.65888058630277</v>
      </c>
      <c r="K1216" s="18">
        <f>(1/2015.7)*69547.68*1.2*P4</f>
        <v>51.282377394129753</v>
      </c>
      <c r="L1216" s="130" t="s">
        <v>131</v>
      </c>
    </row>
    <row r="1217" spans="1:12" s="81" customFormat="1" ht="20.100000000000001" customHeight="1" thickBot="1" x14ac:dyDescent="0.3">
      <c r="A1217" s="327"/>
      <c r="B1217" s="323"/>
      <c r="C1217" s="18">
        <f>C1216+C1215</f>
        <v>153.55057187771777</v>
      </c>
      <c r="D1217" s="18">
        <f t="shared" ref="D1217:K1217" si="681">D1216+D1215</f>
        <v>72.292298029050386</v>
      </c>
      <c r="E1217" s="18">
        <f t="shared" si="681"/>
        <v>100.58669039173017</v>
      </c>
      <c r="F1217" s="18">
        <f t="shared" si="681"/>
        <v>76.472045387978028</v>
      </c>
      <c r="G1217" s="18">
        <f t="shared" si="681"/>
        <v>77.890907321797542</v>
      </c>
      <c r="H1217" s="18">
        <f t="shared" si="681"/>
        <v>76.472045387978028</v>
      </c>
      <c r="I1217" s="18">
        <f t="shared" si="681"/>
        <v>107.8112088818668</v>
      </c>
      <c r="J1217" s="18">
        <f t="shared" si="681"/>
        <v>121.03855017999231</v>
      </c>
      <c r="K1217" s="18">
        <f t="shared" si="681"/>
        <v>52.662046987819288</v>
      </c>
      <c r="L1217" s="130" t="s">
        <v>131</v>
      </c>
    </row>
    <row r="1218" spans="1:12" s="81" customFormat="1" ht="20.100000000000001" customHeight="1" thickBot="1" x14ac:dyDescent="0.3">
      <c r="A1218" s="328"/>
      <c r="B1218" s="265" t="s">
        <v>212</v>
      </c>
      <c r="C1218" s="36">
        <f>SUM(C1213:C1216)</f>
        <v>6677.3900116457535</v>
      </c>
      <c r="D1218" s="36">
        <f t="shared" ref="D1218:K1218" si="682">SUM(D1213:D1216)</f>
        <v>12080.376343678534</v>
      </c>
      <c r="E1218" s="36">
        <f t="shared" si="682"/>
        <v>923.44171750181363</v>
      </c>
      <c r="F1218" s="36">
        <f t="shared" si="682"/>
        <v>585.96395775637461</v>
      </c>
      <c r="G1218" s="36">
        <f t="shared" si="682"/>
        <v>1325.3923321626189</v>
      </c>
      <c r="H1218" s="36">
        <f t="shared" si="682"/>
        <v>783.71655653352695</v>
      </c>
      <c r="I1218" s="36">
        <f t="shared" si="682"/>
        <v>1992.0081070643232</v>
      </c>
      <c r="J1218" s="36">
        <f t="shared" si="682"/>
        <v>2846.1652446189914</v>
      </c>
      <c r="K1218" s="36">
        <f t="shared" si="682"/>
        <v>676.21205653471293</v>
      </c>
      <c r="L1218" s="131" t="s">
        <v>131</v>
      </c>
    </row>
    <row r="1219" spans="1:12" s="81" customFormat="1" ht="20.100000000000001" hidden="1" customHeight="1" thickBot="1" x14ac:dyDescent="0.3">
      <c r="A1219" s="327" t="s">
        <v>1108</v>
      </c>
      <c r="B1219" s="321" t="s">
        <v>111</v>
      </c>
      <c r="C1219" s="9">
        <v>3996.7538332377489</v>
      </c>
      <c r="D1219" s="9">
        <v>4351.4880453333335</v>
      </c>
      <c r="E1219" s="9">
        <v>495.49028738152833</v>
      </c>
      <c r="F1219" s="9">
        <v>338.3182716671148</v>
      </c>
      <c r="G1219" s="9">
        <v>596.69270377733608</v>
      </c>
      <c r="H1219" s="9">
        <v>360.74179343799455</v>
      </c>
      <c r="I1219" s="9">
        <v>1951.5657693836981</v>
      </c>
      <c r="J1219" s="9">
        <v>1493.4224515646945</v>
      </c>
      <c r="K1219" s="9">
        <v>346.15871774049208</v>
      </c>
      <c r="L1219" s="20" t="s">
        <v>131</v>
      </c>
    </row>
    <row r="1220" spans="1:12" s="81" customFormat="1" ht="20.100000000000001" customHeight="1" x14ac:dyDescent="0.25">
      <c r="A1220" s="327"/>
      <c r="B1220" s="322"/>
      <c r="C1220" s="10">
        <f>C1219/13.19*19.53*1.039*1.15</f>
        <v>7070.9576446997535</v>
      </c>
      <c r="D1220" s="10">
        <v>11756.495051546392</v>
      </c>
      <c r="E1220" s="10">
        <f t="shared" ref="E1220:K1220" si="683">E1219/13.19*19.53*1.039</f>
        <v>762.26879452245169</v>
      </c>
      <c r="F1220" s="10">
        <f t="shared" si="683"/>
        <v>520.47329216371827</v>
      </c>
      <c r="G1220" s="10">
        <f t="shared" si="683"/>
        <v>917.95992694901122</v>
      </c>
      <c r="H1220" s="10">
        <f t="shared" si="683"/>
        <v>554.96993386292274</v>
      </c>
      <c r="I1220" s="10">
        <f t="shared" si="683"/>
        <v>3002.3145243085751</v>
      </c>
      <c r="J1220" s="10">
        <f t="shared" si="683"/>
        <v>2297.5008004353122</v>
      </c>
      <c r="K1220" s="10">
        <f t="shared" si="683"/>
        <v>532.53513783269227</v>
      </c>
      <c r="L1220" s="26" t="s">
        <v>131</v>
      </c>
    </row>
    <row r="1221" spans="1:12" s="81" customFormat="1" ht="20.100000000000001" customHeight="1" x14ac:dyDescent="0.25">
      <c r="A1221" s="327"/>
      <c r="B1221" s="322"/>
      <c r="C1221" s="16">
        <f>C1220*0.0214</f>
        <v>151.31849359657471</v>
      </c>
      <c r="D1221" s="16">
        <f t="shared" ref="D1221:K1221" si="684">D1220*0.0214</f>
        <v>251.58899410309277</v>
      </c>
      <c r="E1221" s="16">
        <f t="shared" si="684"/>
        <v>16.312552202780466</v>
      </c>
      <c r="F1221" s="16">
        <f t="shared" si="684"/>
        <v>11.138128452303571</v>
      </c>
      <c r="G1221" s="16">
        <f t="shared" si="684"/>
        <v>19.64434243670884</v>
      </c>
      <c r="H1221" s="16">
        <f t="shared" si="684"/>
        <v>11.876356584666546</v>
      </c>
      <c r="I1221" s="16">
        <f t="shared" si="684"/>
        <v>64.249530820203503</v>
      </c>
      <c r="J1221" s="16">
        <f t="shared" si="684"/>
        <v>49.166517129315679</v>
      </c>
      <c r="K1221" s="16">
        <f t="shared" si="684"/>
        <v>11.396251949619614</v>
      </c>
      <c r="L1221" s="15" t="s">
        <v>131</v>
      </c>
    </row>
    <row r="1222" spans="1:12" s="81" customFormat="1" ht="20.100000000000001" hidden="1" customHeight="1" x14ac:dyDescent="0.25">
      <c r="A1222" s="327"/>
      <c r="B1222" s="322"/>
      <c r="C1222" s="16">
        <f>24594/4225.2</f>
        <v>5.8207895484237433</v>
      </c>
      <c r="D1222" s="16">
        <f>18321/845</f>
        <v>21.681656804733727</v>
      </c>
      <c r="E1222" s="16">
        <f>11951/4225.2</f>
        <v>2.828505159519076</v>
      </c>
      <c r="F1222" s="16">
        <f>58994/2/4225.2</f>
        <v>6.9812079901543127</v>
      </c>
      <c r="G1222" s="16">
        <f>53314/4225.2</f>
        <v>12.618100918299726</v>
      </c>
      <c r="H1222" s="16">
        <f>F1222</f>
        <v>6.9812079901543127</v>
      </c>
      <c r="I1222" s="16">
        <f>62781/4225.2</f>
        <v>14.858704913376883</v>
      </c>
      <c r="J1222" s="16">
        <f>4645/4225.2</f>
        <v>1.0993562434914324</v>
      </c>
      <c r="K1222" s="16">
        <f>J1222</f>
        <v>1.0993562434914324</v>
      </c>
      <c r="L1222" s="15" t="s">
        <v>131</v>
      </c>
    </row>
    <row r="1223" spans="1:12" s="81" customFormat="1" ht="20.100000000000001" hidden="1" customHeight="1" thickBot="1" x14ac:dyDescent="0.3">
      <c r="A1223" s="327"/>
      <c r="B1223" s="322"/>
      <c r="C1223" s="18">
        <f>(1/4225.2)*296758.8*1.2*P4</f>
        <v>104.39212403742954</v>
      </c>
      <c r="D1223" s="18">
        <f>(1/4225.2)*103865.58*1.2*P4</f>
        <v>36.537243413100342</v>
      </c>
      <c r="E1223" s="18">
        <f>(1/4225.2)*197839.2*1.2*P4</f>
        <v>69.594749358286364</v>
      </c>
      <c r="F1223" s="18">
        <f>(1/4225.2)*148379.4*1.2*P4</f>
        <v>52.19606201871477</v>
      </c>
      <c r="G1223" s="19">
        <f>(1/4225.2)*148379.4*1.2*P4</f>
        <v>52.19606201871477</v>
      </c>
      <c r="H1223" s="19">
        <f>(1/4225.2)*148379.4*1.2*P4</f>
        <v>52.19606201871477</v>
      </c>
      <c r="I1223" s="19">
        <f>(1/4225.2)*195366.72*1.2*P4</f>
        <v>68.724994396209212</v>
      </c>
      <c r="J1223" s="19">
        <f>(1/4225.2)*242353.02*1.2*P4</f>
        <v>85.253567963900792</v>
      </c>
      <c r="K1223" s="18">
        <f>(1/4225.2)*103865.58*1.2*P4</f>
        <v>36.537243413100342</v>
      </c>
      <c r="L1223" s="130" t="s">
        <v>131</v>
      </c>
    </row>
    <row r="1224" spans="1:12" s="81" customFormat="1" ht="20.100000000000001" customHeight="1" thickBot="1" x14ac:dyDescent="0.3">
      <c r="A1224" s="327"/>
      <c r="B1224" s="323"/>
      <c r="C1224" s="18">
        <f>C1223+C1222</f>
        <v>110.21291358585329</v>
      </c>
      <c r="D1224" s="18">
        <f t="shared" ref="D1224:K1224" si="685">D1223+D1222</f>
        <v>58.218900217834069</v>
      </c>
      <c r="E1224" s="18">
        <f t="shared" si="685"/>
        <v>72.423254517805447</v>
      </c>
      <c r="F1224" s="18">
        <f t="shared" si="685"/>
        <v>59.17727000886908</v>
      </c>
      <c r="G1224" s="18">
        <f t="shared" si="685"/>
        <v>64.814162937014501</v>
      </c>
      <c r="H1224" s="18">
        <f t="shared" si="685"/>
        <v>59.17727000886908</v>
      </c>
      <c r="I1224" s="18">
        <f t="shared" si="685"/>
        <v>83.583699309586095</v>
      </c>
      <c r="J1224" s="18">
        <f t="shared" si="685"/>
        <v>86.352924207392221</v>
      </c>
      <c r="K1224" s="18">
        <f t="shared" si="685"/>
        <v>37.636599656591777</v>
      </c>
      <c r="L1224" s="130" t="s">
        <v>131</v>
      </c>
    </row>
    <row r="1225" spans="1:12" s="81" customFormat="1" ht="20.100000000000001" customHeight="1" thickBot="1" x14ac:dyDescent="0.3">
      <c r="A1225" s="328"/>
      <c r="B1225" s="259" t="s">
        <v>212</v>
      </c>
      <c r="C1225" s="36">
        <f>SUM(C1220:C1223)</f>
        <v>7332.4890518821812</v>
      </c>
      <c r="D1225" s="36">
        <f t="shared" ref="D1225:K1225" si="686">SUM(D1220:D1223)</f>
        <v>12066.302945867319</v>
      </c>
      <c r="E1225" s="36">
        <f t="shared" si="686"/>
        <v>851.00460124303754</v>
      </c>
      <c r="F1225" s="36">
        <f t="shared" si="686"/>
        <v>590.78869062489093</v>
      </c>
      <c r="G1225" s="36">
        <f t="shared" si="686"/>
        <v>1002.4184323227346</v>
      </c>
      <c r="H1225" s="36">
        <f t="shared" si="686"/>
        <v>626.02356045645831</v>
      </c>
      <c r="I1225" s="36">
        <f t="shared" si="686"/>
        <v>3150.1477544383647</v>
      </c>
      <c r="J1225" s="36">
        <f t="shared" si="686"/>
        <v>2433.0202417720202</v>
      </c>
      <c r="K1225" s="36">
        <f t="shared" si="686"/>
        <v>581.56798943890362</v>
      </c>
      <c r="L1225" s="131" t="s">
        <v>131</v>
      </c>
    </row>
    <row r="1226" spans="1:12" s="81" customFormat="1" ht="20.100000000000001" hidden="1" customHeight="1" thickBot="1" x14ac:dyDescent="0.3">
      <c r="A1226" s="327" t="s">
        <v>1109</v>
      </c>
      <c r="B1226" s="321" t="s">
        <v>112</v>
      </c>
      <c r="C1226" s="9">
        <v>4036.1199718695702</v>
      </c>
      <c r="D1226" s="9">
        <v>5637.6363407550962</v>
      </c>
      <c r="E1226" s="9">
        <v>673.94057405154911</v>
      </c>
      <c r="F1226" s="9">
        <v>385.94478358858828</v>
      </c>
      <c r="G1226" s="9">
        <v>884.68024400929312</v>
      </c>
      <c r="H1226" s="9">
        <v>296.03253392109406</v>
      </c>
      <c r="I1226" s="9">
        <v>2003.1288107534021</v>
      </c>
      <c r="J1226" s="9">
        <v>2561.6380432935275</v>
      </c>
      <c r="K1226" s="9">
        <v>582.87291785104185</v>
      </c>
      <c r="L1226" s="20" t="s">
        <v>131</v>
      </c>
    </row>
    <row r="1227" spans="1:12" s="81" customFormat="1" ht="20.100000000000001" customHeight="1" x14ac:dyDescent="0.25">
      <c r="A1227" s="327"/>
      <c r="B1227" s="322"/>
      <c r="C1227" s="7">
        <f>C1226/14.06*19.53*1.039</f>
        <v>5825.0081471967706</v>
      </c>
      <c r="D1227" s="16">
        <v>13807.92</v>
      </c>
      <c r="E1227" s="7">
        <f t="shared" ref="E1227:K1227" si="687">E1226/14.06*19.53*1.039</f>
        <v>972.6443618964862</v>
      </c>
      <c r="F1227" s="7">
        <f t="shared" si="687"/>
        <v>557.00314273122683</v>
      </c>
      <c r="G1227" s="7">
        <f t="shared" si="687"/>
        <v>1276.7880204093919</v>
      </c>
      <c r="H1227" s="7">
        <f t="shared" si="687"/>
        <v>427.24000622977576</v>
      </c>
      <c r="I1227" s="7">
        <f t="shared" si="687"/>
        <v>2890.9551063513859</v>
      </c>
      <c r="J1227" s="7">
        <f t="shared" si="687"/>
        <v>3697.0066738234691</v>
      </c>
      <c r="K1227" s="7">
        <f t="shared" si="687"/>
        <v>841.21371984142604</v>
      </c>
      <c r="L1227" s="8" t="s">
        <v>131</v>
      </c>
    </row>
    <row r="1228" spans="1:12" s="81" customFormat="1" ht="20.100000000000001" customHeight="1" x14ac:dyDescent="0.25">
      <c r="A1228" s="327"/>
      <c r="B1228" s="322"/>
      <c r="C1228" s="35">
        <f>C1227*0.0214</f>
        <v>124.65517435001088</v>
      </c>
      <c r="D1228" s="35">
        <f t="shared" ref="D1228:K1228" si="688">D1227*0.0214</f>
        <v>295.48948799999999</v>
      </c>
      <c r="E1228" s="35">
        <f t="shared" si="688"/>
        <v>20.814589344584803</v>
      </c>
      <c r="F1228" s="35">
        <f t="shared" si="688"/>
        <v>11.919867254448253</v>
      </c>
      <c r="G1228" s="35">
        <f t="shared" si="688"/>
        <v>27.323263636760988</v>
      </c>
      <c r="H1228" s="35">
        <f t="shared" si="688"/>
        <v>9.1429361333172015</v>
      </c>
      <c r="I1228" s="35">
        <f t="shared" si="688"/>
        <v>61.866439275919653</v>
      </c>
      <c r="J1228" s="35">
        <f t="shared" si="688"/>
        <v>79.115942819822237</v>
      </c>
      <c r="K1228" s="35">
        <f t="shared" si="688"/>
        <v>18.001973604606516</v>
      </c>
      <c r="L1228" s="26" t="s">
        <v>131</v>
      </c>
    </row>
    <row r="1229" spans="1:12" s="81" customFormat="1" ht="20.100000000000001" hidden="1" customHeight="1" x14ac:dyDescent="0.25">
      <c r="A1229" s="327"/>
      <c r="B1229" s="322"/>
      <c r="C1229" s="16">
        <f>11814/1506.5</f>
        <v>7.8420179223365416</v>
      </c>
      <c r="D1229" s="16">
        <f>8841/527</f>
        <v>16.776091081593929</v>
      </c>
      <c r="E1229" s="16">
        <f>4454/1506.5</f>
        <v>2.9565217391304346</v>
      </c>
      <c r="F1229" s="16">
        <f>9751/2/1506.5</f>
        <v>3.2363093262529041</v>
      </c>
      <c r="G1229" s="16">
        <f>7051/1506.5</f>
        <v>4.6803849983405241</v>
      </c>
      <c r="H1229" s="16">
        <f>F1229</f>
        <v>3.2363093262529041</v>
      </c>
      <c r="I1229" s="16">
        <f>10426/1506.5</f>
        <v>6.9206770660471291</v>
      </c>
      <c r="J1229" s="16">
        <f>2359/1506.5</f>
        <v>1.5658811815466314</v>
      </c>
      <c r="K1229" s="16">
        <f>J1229</f>
        <v>1.5658811815466314</v>
      </c>
      <c r="L1229" s="15" t="s">
        <v>131</v>
      </c>
    </row>
    <row r="1230" spans="1:12" s="81" customFormat="1" ht="20.100000000000001" hidden="1" customHeight="1" thickBot="1" x14ac:dyDescent="0.3">
      <c r="A1230" s="327"/>
      <c r="B1230" s="322"/>
      <c r="C1230" s="18">
        <f>(1/1506.5)*136490.28*1.2*P4</f>
        <v>134.66166740634793</v>
      </c>
      <c r="D1230" s="18">
        <f>(1/1506.5)*116016.84*1.2*P4</f>
        <v>114.46251792886262</v>
      </c>
      <c r="E1230" s="18">
        <f>(1/1506.5)*90993.18*1.2*P4</f>
        <v>89.774109492675578</v>
      </c>
      <c r="F1230" s="18">
        <f>(1/1506.5)*68245.14*1.2*P4</f>
        <v>67.330833703173965</v>
      </c>
      <c r="G1230" s="19">
        <f>(1/1506.5)*68245.14*1.2*P4</f>
        <v>67.330833703173965</v>
      </c>
      <c r="H1230" s="19">
        <f>(1/1506.5)*68245.14*1.2*P4</f>
        <v>67.330833703173965</v>
      </c>
      <c r="I1230" s="19">
        <f>(1/1506.5)*89855.88*1.2*P4</f>
        <v>88.652046336667411</v>
      </c>
      <c r="J1230" s="19">
        <f>(1/1506.5)*111466.62*1.2*P4</f>
        <v>109.97325897016087</v>
      </c>
      <c r="K1230" s="18">
        <f>(1/1506.5)*47771.7*1.2*P4</f>
        <v>47.131684225688673</v>
      </c>
      <c r="L1230" s="130" t="s">
        <v>131</v>
      </c>
    </row>
    <row r="1231" spans="1:12" s="81" customFormat="1" ht="20.100000000000001" customHeight="1" thickBot="1" x14ac:dyDescent="0.3">
      <c r="A1231" s="327"/>
      <c r="B1231" s="323"/>
      <c r="C1231" s="18">
        <f>C1230+C1229</f>
        <v>142.50368532868447</v>
      </c>
      <c r="D1231" s="18">
        <f t="shared" ref="D1231:K1231" si="689">D1230+D1229</f>
        <v>131.23860901045654</v>
      </c>
      <c r="E1231" s="18">
        <f t="shared" si="689"/>
        <v>92.730631231806015</v>
      </c>
      <c r="F1231" s="18">
        <f t="shared" si="689"/>
        <v>70.567143029426873</v>
      </c>
      <c r="G1231" s="18">
        <f t="shared" si="689"/>
        <v>72.011218701514494</v>
      </c>
      <c r="H1231" s="18">
        <f t="shared" si="689"/>
        <v>70.567143029426873</v>
      </c>
      <c r="I1231" s="18">
        <f t="shared" si="689"/>
        <v>95.572723402714544</v>
      </c>
      <c r="J1231" s="18">
        <f t="shared" si="689"/>
        <v>111.5391401517075</v>
      </c>
      <c r="K1231" s="18">
        <f t="shared" si="689"/>
        <v>48.697565407235302</v>
      </c>
      <c r="L1231" s="130" t="s">
        <v>131</v>
      </c>
    </row>
    <row r="1232" spans="1:12" s="81" customFormat="1" ht="20.100000000000001" customHeight="1" thickBot="1" x14ac:dyDescent="0.3">
      <c r="A1232" s="328"/>
      <c r="B1232" s="265" t="s">
        <v>212</v>
      </c>
      <c r="C1232" s="36">
        <f>SUM(C1227:C1230)</f>
        <v>6092.1670068754665</v>
      </c>
      <c r="D1232" s="36">
        <f t="shared" ref="D1232:K1232" si="690">SUM(D1227:D1230)</f>
        <v>14234.648097010457</v>
      </c>
      <c r="E1232" s="36">
        <f t="shared" si="690"/>
        <v>1086.189582472877</v>
      </c>
      <c r="F1232" s="36">
        <f t="shared" si="690"/>
        <v>639.49015301510201</v>
      </c>
      <c r="G1232" s="36">
        <f t="shared" si="690"/>
        <v>1376.1225027476673</v>
      </c>
      <c r="H1232" s="36">
        <f t="shared" si="690"/>
        <v>506.9500853925199</v>
      </c>
      <c r="I1232" s="36">
        <f t="shared" si="690"/>
        <v>3048.39426903002</v>
      </c>
      <c r="J1232" s="36">
        <f t="shared" si="690"/>
        <v>3887.6617567949984</v>
      </c>
      <c r="K1232" s="36">
        <f t="shared" si="690"/>
        <v>907.91325885326785</v>
      </c>
      <c r="L1232" s="131" t="s">
        <v>131</v>
      </c>
    </row>
    <row r="1233" spans="1:12" s="53" customFormat="1" ht="20.100000000000001" hidden="1" customHeight="1" thickBot="1" x14ac:dyDescent="0.3">
      <c r="A1233" s="327" t="s">
        <v>1110</v>
      </c>
      <c r="B1233" s="321" t="s">
        <v>197</v>
      </c>
      <c r="C1233" s="9">
        <v>5633.8119153221323</v>
      </c>
      <c r="D1233" s="9">
        <v>7416.5136492134843</v>
      </c>
      <c r="E1233" s="9">
        <v>815.04151285189721</v>
      </c>
      <c r="F1233" s="9">
        <v>491.21337409591627</v>
      </c>
      <c r="G1233" s="9">
        <v>1273.6423870034496</v>
      </c>
      <c r="H1233" s="9">
        <v>399.60802325581398</v>
      </c>
      <c r="I1233" s="9">
        <v>2571.819059752977</v>
      </c>
      <c r="J1233" s="9">
        <v>3364.1643348169578</v>
      </c>
      <c r="K1233" s="9">
        <v>830.79654845888501</v>
      </c>
      <c r="L1233" s="20" t="s">
        <v>131</v>
      </c>
    </row>
    <row r="1234" spans="1:12" s="53" customFormat="1" ht="20.100000000000001" customHeight="1" x14ac:dyDescent="0.25">
      <c r="A1234" s="327"/>
      <c r="B1234" s="322"/>
      <c r="C1234" s="7">
        <f>C1233/14.06*19.53*1.039</f>
        <v>8130.828750198054</v>
      </c>
      <c r="D1234" s="7">
        <f t="shared" ref="D1234:K1234" si="691">D1233/14.06*19.53*1.039</f>
        <v>10703.659140848917</v>
      </c>
      <c r="E1234" s="7">
        <f t="shared" si="691"/>
        <v>1176.2840266779131</v>
      </c>
      <c r="F1234" s="7">
        <f t="shared" si="691"/>
        <v>708.92885396450083</v>
      </c>
      <c r="G1234" s="7">
        <f t="shared" si="691"/>
        <v>1838.145875895184</v>
      </c>
      <c r="H1234" s="7">
        <f t="shared" si="691"/>
        <v>576.72220037406134</v>
      </c>
      <c r="I1234" s="7">
        <f t="shared" si="691"/>
        <v>3711.7001180809166</v>
      </c>
      <c r="J1234" s="7">
        <f t="shared" si="691"/>
        <v>4855.2284856241258</v>
      </c>
      <c r="K1234" s="7">
        <f t="shared" si="691"/>
        <v>1199.0220055808466</v>
      </c>
      <c r="L1234" s="8" t="s">
        <v>131</v>
      </c>
    </row>
    <row r="1235" spans="1:12" s="53" customFormat="1" ht="20.100000000000001" customHeight="1" x14ac:dyDescent="0.25">
      <c r="A1235" s="327"/>
      <c r="B1235" s="322"/>
      <c r="C1235" s="35">
        <f>C1234*0.0214</f>
        <v>173.99973525423835</v>
      </c>
      <c r="D1235" s="35">
        <f t="shared" ref="D1235:K1235" si="692">D1234*0.0214</f>
        <v>229.05830561416681</v>
      </c>
      <c r="E1235" s="35">
        <f t="shared" si="692"/>
        <v>25.17247817090734</v>
      </c>
      <c r="F1235" s="35">
        <f t="shared" si="692"/>
        <v>15.171077474840317</v>
      </c>
      <c r="G1235" s="35">
        <f t="shared" si="692"/>
        <v>39.336321744156933</v>
      </c>
      <c r="H1235" s="35">
        <f t="shared" si="692"/>
        <v>12.341855088004912</v>
      </c>
      <c r="I1235" s="35">
        <f t="shared" si="692"/>
        <v>79.430382526931609</v>
      </c>
      <c r="J1235" s="35">
        <f t="shared" si="692"/>
        <v>103.90188959235628</v>
      </c>
      <c r="K1235" s="35">
        <f t="shared" si="692"/>
        <v>25.659070919430114</v>
      </c>
      <c r="L1235" s="15" t="s">
        <v>131</v>
      </c>
    </row>
    <row r="1236" spans="1:12" s="53" customFormat="1" ht="20.100000000000001" hidden="1" customHeight="1" x14ac:dyDescent="0.25">
      <c r="A1236" s="327"/>
      <c r="B1236" s="322"/>
      <c r="C1236" s="16">
        <f>10358/1316.1</f>
        <v>7.8702226274599196</v>
      </c>
      <c r="D1236" s="16">
        <f>7761/440</f>
        <v>17.638636363636362</v>
      </c>
      <c r="E1236" s="16">
        <f>3929/1316.1</f>
        <v>2.9853354608312439</v>
      </c>
      <c r="F1236" s="16">
        <f>8557/2/1316.1</f>
        <v>3.2508927893017252</v>
      </c>
      <c r="G1236" s="16">
        <f>6198/1316.1</f>
        <v>4.7093685890129935</v>
      </c>
      <c r="H1236" s="16">
        <f>F1236</f>
        <v>3.2508927893017252</v>
      </c>
      <c r="I1236" s="16">
        <f>9146/1316.1</f>
        <v>6.9493199604893254</v>
      </c>
      <c r="J1236" s="16">
        <f>2099/1316.1</f>
        <v>1.5948636121875239</v>
      </c>
      <c r="K1236" s="16">
        <f>J1236</f>
        <v>1.5948636121875239</v>
      </c>
      <c r="L1236" s="15" t="s">
        <v>131</v>
      </c>
    </row>
    <row r="1237" spans="1:12" s="53" customFormat="1" ht="20.100000000000001" hidden="1" customHeight="1" thickBot="1" x14ac:dyDescent="0.3">
      <c r="A1237" s="327"/>
      <c r="B1237" s="322"/>
      <c r="C1237" s="17">
        <f>(1/898.7)*126647.28*1.2*P4</f>
        <v>209.4558643271626</v>
      </c>
      <c r="D1237" s="18">
        <f>(1/440)*44326.14*1.2*P4</f>
        <v>149.73338278980859</v>
      </c>
      <c r="E1237" s="18">
        <f>(1/898.7)*84431.52*1.2*P4</f>
        <v>139.63724288477508</v>
      </c>
      <c r="F1237" s="18">
        <f>(1/898.7)*63323.64*1.2*P4</f>
        <v>104.7279321635813</v>
      </c>
      <c r="G1237" s="19">
        <f>(1/898.7)*63323.64*1.2*P4</f>
        <v>104.7279321635813</v>
      </c>
      <c r="H1237" s="19">
        <f>(1/898.7)*63323.64*1.2*P4</f>
        <v>104.7279321635813</v>
      </c>
      <c r="I1237" s="19">
        <f>(1/898.7)*83375.82*1.2*P4</f>
        <v>137.89127126998645</v>
      </c>
      <c r="J1237" s="19">
        <f>(1/898.7)*103428*1.2*P4</f>
        <v>171.05461037639159</v>
      </c>
      <c r="K1237" s="18">
        <f>(1/898.7)*44326.14*1.2*P4</f>
        <v>73.308877742868333</v>
      </c>
      <c r="L1237" s="34" t="s">
        <v>131</v>
      </c>
    </row>
    <row r="1238" spans="1:12" s="53" customFormat="1" ht="20.100000000000001" customHeight="1" thickBot="1" x14ac:dyDescent="0.3">
      <c r="A1238" s="327"/>
      <c r="B1238" s="323"/>
      <c r="C1238" s="17">
        <f>C1237+C1236</f>
        <v>217.32608695462253</v>
      </c>
      <c r="D1238" s="17">
        <f t="shared" ref="D1238:K1238" si="693">D1237+D1236</f>
        <v>167.37201915344494</v>
      </c>
      <c r="E1238" s="17">
        <f t="shared" si="693"/>
        <v>142.62257834560631</v>
      </c>
      <c r="F1238" s="17">
        <f t="shared" si="693"/>
        <v>107.97882495288303</v>
      </c>
      <c r="G1238" s="17">
        <f t="shared" si="693"/>
        <v>109.4373007525943</v>
      </c>
      <c r="H1238" s="17">
        <f t="shared" si="693"/>
        <v>107.97882495288303</v>
      </c>
      <c r="I1238" s="17">
        <f t="shared" si="693"/>
        <v>144.84059123047578</v>
      </c>
      <c r="J1238" s="17">
        <f t="shared" si="693"/>
        <v>172.64947398857913</v>
      </c>
      <c r="K1238" s="17">
        <f t="shared" si="693"/>
        <v>74.903741355055857</v>
      </c>
      <c r="L1238" s="34" t="s">
        <v>131</v>
      </c>
    </row>
    <row r="1239" spans="1:12" s="53" customFormat="1" ht="20.100000000000001" customHeight="1" thickBot="1" x14ac:dyDescent="0.3">
      <c r="A1239" s="328"/>
      <c r="B1239" s="265" t="s">
        <v>212</v>
      </c>
      <c r="C1239" s="17">
        <f>SUM(C1234:C1237)</f>
        <v>8522.1545724069147</v>
      </c>
      <c r="D1239" s="17">
        <f t="shared" ref="D1239:K1239" si="694">SUM(D1234:D1237)</f>
        <v>11100.089465616529</v>
      </c>
      <c r="E1239" s="17">
        <f t="shared" si="694"/>
        <v>1344.0790831944269</v>
      </c>
      <c r="F1239" s="17">
        <f t="shared" si="694"/>
        <v>832.07875639222414</v>
      </c>
      <c r="G1239" s="17">
        <f t="shared" si="694"/>
        <v>1986.9194983919351</v>
      </c>
      <c r="H1239" s="17">
        <f t="shared" si="694"/>
        <v>697.0428804149492</v>
      </c>
      <c r="I1239" s="17">
        <f t="shared" si="694"/>
        <v>3935.9710918383244</v>
      </c>
      <c r="J1239" s="17">
        <f t="shared" si="694"/>
        <v>5131.7798492050615</v>
      </c>
      <c r="K1239" s="17">
        <f t="shared" si="694"/>
        <v>1299.5848178553326</v>
      </c>
      <c r="L1239" s="34" t="s">
        <v>131</v>
      </c>
    </row>
    <row r="1240" spans="1:12" s="81" customFormat="1" ht="20.100000000000001" hidden="1" customHeight="1" thickBot="1" x14ac:dyDescent="0.3">
      <c r="A1240" s="327" t="s">
        <v>1111</v>
      </c>
      <c r="B1240" s="321" t="s">
        <v>113</v>
      </c>
      <c r="C1240" s="9">
        <v>4010.9417926903898</v>
      </c>
      <c r="D1240" s="9">
        <v>5651.5160567465837</v>
      </c>
      <c r="E1240" s="9">
        <v>581.78733478001607</v>
      </c>
      <c r="F1240" s="9">
        <v>360.22863326218425</v>
      </c>
      <c r="G1240" s="9">
        <v>882.02721643616758</v>
      </c>
      <c r="H1240" s="9">
        <v>499.88988067650064</v>
      </c>
      <c r="I1240" s="9">
        <v>1332.1932241749464</v>
      </c>
      <c r="J1240" s="9">
        <v>1926.7600540325025</v>
      </c>
      <c r="K1240" s="9">
        <v>440.87170425442184</v>
      </c>
      <c r="L1240" s="126" t="s">
        <v>131</v>
      </c>
    </row>
    <row r="1241" spans="1:12" s="81" customFormat="1" ht="20.100000000000001" customHeight="1" x14ac:dyDescent="0.25">
      <c r="A1241" s="327"/>
      <c r="B1241" s="322"/>
      <c r="C1241" s="10">
        <f>C1240/14.06*19.53*1.039</f>
        <v>5788.670501172247</v>
      </c>
      <c r="D1241" s="16">
        <v>13807.92</v>
      </c>
      <c r="E1241" s="10">
        <f t="shared" ref="E1241:K1241" si="695">E1240/14.06*19.53*1.039</f>
        <v>839.64698488873455</v>
      </c>
      <c r="F1241" s="10">
        <f t="shared" si="695"/>
        <v>519.8890861100474</v>
      </c>
      <c r="G1241" s="10">
        <f t="shared" si="695"/>
        <v>1272.9591185591244</v>
      </c>
      <c r="H1241" s="10">
        <f t="shared" si="695"/>
        <v>721.45095981699342</v>
      </c>
      <c r="I1241" s="10">
        <f t="shared" si="695"/>
        <v>1922.6476017918944</v>
      </c>
      <c r="J1241" s="10">
        <f t="shared" si="695"/>
        <v>2780.7382066578739</v>
      </c>
      <c r="K1241" s="10">
        <f t="shared" si="695"/>
        <v>636.27476067342275</v>
      </c>
      <c r="L1241" s="127" t="s">
        <v>131</v>
      </c>
    </row>
    <row r="1242" spans="1:12" s="81" customFormat="1" ht="20.100000000000001" customHeight="1" x14ac:dyDescent="0.25">
      <c r="A1242" s="327"/>
      <c r="B1242" s="322"/>
      <c r="C1242" s="16">
        <f>C1241*0.0214</f>
        <v>123.87754872508607</v>
      </c>
      <c r="D1242" s="16">
        <f t="shared" ref="D1242:K1242" si="696">D1241*0.0214</f>
        <v>295.48948799999999</v>
      </c>
      <c r="E1242" s="16">
        <f t="shared" si="696"/>
        <v>17.968445476618918</v>
      </c>
      <c r="F1242" s="16">
        <f t="shared" si="696"/>
        <v>11.125626442755014</v>
      </c>
      <c r="G1242" s="16">
        <f t="shared" si="696"/>
        <v>27.241325137165258</v>
      </c>
      <c r="H1242" s="16">
        <f t="shared" si="696"/>
        <v>15.439050540083658</v>
      </c>
      <c r="I1242" s="16">
        <f t="shared" si="696"/>
        <v>41.144658678346538</v>
      </c>
      <c r="J1242" s="16">
        <f t="shared" si="696"/>
        <v>59.507797622478499</v>
      </c>
      <c r="K1242" s="16">
        <f t="shared" si="696"/>
        <v>13.616279878411246</v>
      </c>
      <c r="L1242" s="128" t="s">
        <v>131</v>
      </c>
    </row>
    <row r="1243" spans="1:12" s="81" customFormat="1" ht="20.100000000000001" hidden="1" customHeight="1" x14ac:dyDescent="0.25">
      <c r="A1243" s="327"/>
      <c r="B1243" s="322"/>
      <c r="C1243" s="16">
        <f>14082/2002.9</f>
        <v>7.0308053322682111</v>
      </c>
      <c r="D1243" s="16">
        <f>10524/526</f>
        <v>20.007604562737644</v>
      </c>
      <c r="E1243" s="16">
        <f>5823/2002.9</f>
        <v>2.9072844375655298</v>
      </c>
      <c r="F1243" s="16">
        <f>12865/2/2002.9</f>
        <v>3.2115931898746815</v>
      </c>
      <c r="G1243" s="16">
        <f>9275/2002.9</f>
        <v>4.6307853612262218</v>
      </c>
      <c r="H1243" s="16">
        <f>F1243</f>
        <v>3.2115931898746815</v>
      </c>
      <c r="I1243" s="16">
        <f>22738/2002.9</f>
        <v>11.352538818712866</v>
      </c>
      <c r="J1243" s="16">
        <f>2765/2002.9</f>
        <v>1.3804982774976284</v>
      </c>
      <c r="K1243" s="16">
        <f>J1243</f>
        <v>1.3804982774976284</v>
      </c>
      <c r="L1243" s="128" t="s">
        <v>131</v>
      </c>
    </row>
    <row r="1244" spans="1:12" s="81" customFormat="1" ht="20.100000000000001" hidden="1" customHeight="1" thickBot="1" x14ac:dyDescent="0.3">
      <c r="A1244" s="327"/>
      <c r="B1244" s="322"/>
      <c r="C1244" s="18">
        <f>(1/2002.9)*198500.16*1.2*P4</f>
        <v>147.30347544489962</v>
      </c>
      <c r="D1244" s="18">
        <f>(1/2002.9)*168725.34*1.2*P4</f>
        <v>125.2081055129746</v>
      </c>
      <c r="E1244" s="18">
        <f>(1/2002.9)*132333.78*1.2*P4</f>
        <v>98.20256927128294</v>
      </c>
      <c r="F1244" s="18">
        <f>(1/2002.9)*99250.08*1.2*P4</f>
        <v>73.651737722449809</v>
      </c>
      <c r="G1244" s="19">
        <f>(1/2002.9)*99250.08*1.2*P4</f>
        <v>73.651737722449809</v>
      </c>
      <c r="H1244" s="19">
        <f>(1/2002.9)*99250.08*1.2*P4</f>
        <v>73.651737722449809</v>
      </c>
      <c r="I1244" s="19">
        <f>(1/2002.9)*130679.34*1.2*P4</f>
        <v>96.97483846282887</v>
      </c>
      <c r="J1244" s="19">
        <f>(1/2002.9)*162108.6*1.2*P4</f>
        <v>120.29793920320796</v>
      </c>
      <c r="K1244" s="18">
        <f>(1/2002.9)*69475.26*1.2*P4</f>
        <v>51.556367790524774</v>
      </c>
      <c r="L1244" s="130" t="s">
        <v>131</v>
      </c>
    </row>
    <row r="1245" spans="1:12" s="81" customFormat="1" ht="20.100000000000001" customHeight="1" thickBot="1" x14ac:dyDescent="0.3">
      <c r="A1245" s="327"/>
      <c r="B1245" s="323"/>
      <c r="C1245" s="18">
        <f>C1244+C1243</f>
        <v>154.33428077716783</v>
      </c>
      <c r="D1245" s="18">
        <f t="shared" ref="D1245:K1245" si="697">D1244+D1243</f>
        <v>145.21571007571225</v>
      </c>
      <c r="E1245" s="18">
        <f t="shared" si="697"/>
        <v>101.10985370884848</v>
      </c>
      <c r="F1245" s="18">
        <f t="shared" si="697"/>
        <v>76.863330912324486</v>
      </c>
      <c r="G1245" s="18">
        <f t="shared" si="697"/>
        <v>78.282523083676026</v>
      </c>
      <c r="H1245" s="18">
        <f t="shared" si="697"/>
        <v>76.863330912324486</v>
      </c>
      <c r="I1245" s="18">
        <f t="shared" si="697"/>
        <v>108.32737728154174</v>
      </c>
      <c r="J1245" s="18">
        <f t="shared" si="697"/>
        <v>121.67843748070558</v>
      </c>
      <c r="K1245" s="18">
        <f t="shared" si="697"/>
        <v>52.936866068022404</v>
      </c>
      <c r="L1245" s="130" t="s">
        <v>131</v>
      </c>
    </row>
    <row r="1246" spans="1:12" s="81" customFormat="1" ht="20.100000000000001" customHeight="1" thickBot="1" x14ac:dyDescent="0.3">
      <c r="A1246" s="328"/>
      <c r="B1246" s="259" t="s">
        <v>212</v>
      </c>
      <c r="C1246" s="36">
        <f>SUM(C1241:C1244)</f>
        <v>6066.8823306745007</v>
      </c>
      <c r="D1246" s="36">
        <f t="shared" ref="D1246:K1246" si="698">SUM(D1241:D1244)</f>
        <v>14248.625198075712</v>
      </c>
      <c r="E1246" s="36">
        <f t="shared" si="698"/>
        <v>958.72528407420202</v>
      </c>
      <c r="F1246" s="36">
        <f t="shared" si="698"/>
        <v>607.87804346512689</v>
      </c>
      <c r="G1246" s="36">
        <f t="shared" si="698"/>
        <v>1378.4829667799654</v>
      </c>
      <c r="H1246" s="36">
        <f t="shared" si="698"/>
        <v>813.75334126940152</v>
      </c>
      <c r="I1246" s="36">
        <f t="shared" si="698"/>
        <v>2072.1196377517826</v>
      </c>
      <c r="J1246" s="36">
        <f t="shared" si="698"/>
        <v>2961.924441761058</v>
      </c>
      <c r="K1246" s="36">
        <f t="shared" si="698"/>
        <v>702.82790661985632</v>
      </c>
      <c r="L1246" s="131" t="s">
        <v>131</v>
      </c>
    </row>
    <row r="1247" spans="1:12" s="81" customFormat="1" ht="20.100000000000001" hidden="1" customHeight="1" thickBot="1" x14ac:dyDescent="0.3">
      <c r="A1247" s="327" t="s">
        <v>1112</v>
      </c>
      <c r="B1247" s="321" t="s">
        <v>114</v>
      </c>
      <c r="C1247" s="9">
        <v>3973.8401842993576</v>
      </c>
      <c r="D1247" s="9">
        <v>7313.5043637209301</v>
      </c>
      <c r="E1247" s="9">
        <v>576.40574437618432</v>
      </c>
      <c r="F1247" s="9">
        <v>356.89648276653588</v>
      </c>
      <c r="G1247" s="9">
        <v>873.86837742382272</v>
      </c>
      <c r="H1247" s="9">
        <v>495.26584982536758</v>
      </c>
      <c r="I1247" s="9">
        <v>1319.870306094183</v>
      </c>
      <c r="J1247" s="9">
        <v>1908.9373329153636</v>
      </c>
      <c r="K1247" s="9">
        <v>436.79359737395203</v>
      </c>
      <c r="L1247" s="20" t="s">
        <v>131</v>
      </c>
    </row>
    <row r="1248" spans="1:12" s="81" customFormat="1" ht="20.100000000000001" customHeight="1" x14ac:dyDescent="0.25">
      <c r="A1248" s="327"/>
      <c r="B1248" s="322"/>
      <c r="C1248" s="10">
        <f>C1247/14.06*19.53*1.039</f>
        <v>5735.12472635432</v>
      </c>
      <c r="D1248" s="10">
        <f t="shared" ref="D1248:K1248" si="699">D1247/14.06*19.53*1.039</f>
        <v>10554.994103284858</v>
      </c>
      <c r="E1248" s="10">
        <f t="shared" si="699"/>
        <v>831.88016721094505</v>
      </c>
      <c r="F1248" s="10">
        <f t="shared" si="699"/>
        <v>515.08006063010191</v>
      </c>
      <c r="G1248" s="10">
        <f t="shared" si="699"/>
        <v>1261.1841207766472</v>
      </c>
      <c r="H1248" s="10">
        <f t="shared" si="699"/>
        <v>714.77746706443213</v>
      </c>
      <c r="I1248" s="10">
        <f t="shared" si="699"/>
        <v>1904.8629227640222</v>
      </c>
      <c r="J1248" s="10">
        <f t="shared" si="699"/>
        <v>2755.0161031435769</v>
      </c>
      <c r="K1248" s="10">
        <f t="shared" si="699"/>
        <v>630.38915618955207</v>
      </c>
      <c r="L1248" s="26" t="s">
        <v>131</v>
      </c>
    </row>
    <row r="1249" spans="1:12" s="81" customFormat="1" ht="20.100000000000001" hidden="1" customHeight="1" x14ac:dyDescent="0.25">
      <c r="A1249" s="327"/>
      <c r="B1249" s="322"/>
      <c r="C1249" s="16">
        <f>C1247*0.0214</f>
        <v>85.040179944006255</v>
      </c>
      <c r="D1249" s="16">
        <f t="shared" ref="D1249:K1249" si="700">D1247*0.0214</f>
        <v>156.50899338362788</v>
      </c>
      <c r="E1249" s="16">
        <f t="shared" si="700"/>
        <v>12.335082929650344</v>
      </c>
      <c r="F1249" s="16">
        <f t="shared" si="700"/>
        <v>7.6375847312038676</v>
      </c>
      <c r="G1249" s="16">
        <f t="shared" si="700"/>
        <v>18.700783276869807</v>
      </c>
      <c r="H1249" s="16">
        <f t="shared" si="700"/>
        <v>10.598689186262865</v>
      </c>
      <c r="I1249" s="16">
        <f t="shared" si="700"/>
        <v>28.245224550415514</v>
      </c>
      <c r="J1249" s="16">
        <f t="shared" si="700"/>
        <v>40.85125892438878</v>
      </c>
      <c r="K1249" s="16">
        <f t="shared" si="700"/>
        <v>9.3473829838025733</v>
      </c>
      <c r="L1249" s="15" t="s">
        <v>131</v>
      </c>
    </row>
    <row r="1250" spans="1:12" s="81" customFormat="1" ht="20.100000000000001" hidden="1" customHeight="1" x14ac:dyDescent="0.25">
      <c r="A1250" s="327"/>
      <c r="B1250" s="322"/>
      <c r="C1250" s="16">
        <f>14211/2021.6</f>
        <v>7.0295805302730514</v>
      </c>
      <c r="D1250" s="16">
        <f>10619/505.4</f>
        <v>21.011080332409975</v>
      </c>
      <c r="E1250" s="16">
        <f>5875/2021.6</f>
        <v>2.9061139691333597</v>
      </c>
      <c r="F1250" s="16">
        <f>12983/2/2021.6</f>
        <v>3.211070439256035</v>
      </c>
      <c r="G1250" s="16">
        <f>9359/2021.6</f>
        <v>4.6295013850415518</v>
      </c>
      <c r="H1250" s="16">
        <f>F1250</f>
        <v>3.211070439256035</v>
      </c>
      <c r="I1250" s="16">
        <f>22947/2021.6</f>
        <v>11.350910170162248</v>
      </c>
      <c r="J1250" s="16">
        <f>2788/2021.6</f>
        <v>1.3791056588840522</v>
      </c>
      <c r="K1250" s="16">
        <f>J1250</f>
        <v>1.3791056588840522</v>
      </c>
      <c r="L1250" s="15" t="s">
        <v>131</v>
      </c>
    </row>
    <row r="1251" spans="1:12" s="81" customFormat="1" ht="20.100000000000001" customHeight="1" x14ac:dyDescent="0.25">
      <c r="A1251" s="327"/>
      <c r="B1251" s="322"/>
      <c r="C1251" s="16">
        <f>(1/2021.6)*198803.1*1.2</f>
        <v>118.00738029283735</v>
      </c>
      <c r="D1251" s="16">
        <f>(1/2021.6)*69581.34*1.2</f>
        <v>41.302734467748316</v>
      </c>
      <c r="E1251" s="16">
        <f>(1/2021.6)*132535.74*1.2</f>
        <v>78.671788682231892</v>
      </c>
      <c r="F1251" s="16">
        <f>(1/2021.6)*99401.04*1.2</f>
        <v>59.003387415908179</v>
      </c>
      <c r="G1251" s="32">
        <f>(1/2021.6)*99401.04*1.2</f>
        <v>59.003387415908179</v>
      </c>
      <c r="H1251" s="32">
        <f>(1/2021.6)*99401.04*1.2</f>
        <v>59.003387415908179</v>
      </c>
      <c r="I1251" s="32">
        <f>(1/2021.6)*130878.24*1.2</f>
        <v>77.687914523149985</v>
      </c>
      <c r="J1251" s="32">
        <f>(1/2021.6)*162355.44*1.2</f>
        <v>96.372441630391762</v>
      </c>
      <c r="K1251" s="16">
        <f>(1/2021.6)*69581.34*1.2</f>
        <v>41.302734467748316</v>
      </c>
      <c r="L1251" s="128" t="s">
        <v>131</v>
      </c>
    </row>
    <row r="1252" spans="1:12" s="81" customFormat="1" ht="20.100000000000001" customHeight="1" thickBot="1" x14ac:dyDescent="0.3">
      <c r="A1252" s="327"/>
      <c r="B1252" s="323"/>
      <c r="C1252" s="9">
        <f>C1251+C1250</f>
        <v>125.03696082311041</v>
      </c>
      <c r="D1252" s="9">
        <f t="shared" ref="D1252:K1252" si="701">D1251+D1250</f>
        <v>62.313814800158291</v>
      </c>
      <c r="E1252" s="9">
        <f t="shared" si="701"/>
        <v>81.57790265136525</v>
      </c>
      <c r="F1252" s="9">
        <f t="shared" si="701"/>
        <v>62.214457855164213</v>
      </c>
      <c r="G1252" s="9">
        <f t="shared" si="701"/>
        <v>63.632888800949729</v>
      </c>
      <c r="H1252" s="9">
        <f t="shared" si="701"/>
        <v>62.214457855164213</v>
      </c>
      <c r="I1252" s="9">
        <f t="shared" si="701"/>
        <v>89.038824693312236</v>
      </c>
      <c r="J1252" s="9">
        <f t="shared" si="701"/>
        <v>97.75154728927582</v>
      </c>
      <c r="K1252" s="9">
        <f t="shared" si="701"/>
        <v>42.681840126632366</v>
      </c>
      <c r="L1252" s="126" t="s">
        <v>131</v>
      </c>
    </row>
    <row r="1253" spans="1:12" s="81" customFormat="1" ht="20.100000000000001" customHeight="1" thickBot="1" x14ac:dyDescent="0.3">
      <c r="A1253" s="328"/>
      <c r="B1253" s="265" t="s">
        <v>212</v>
      </c>
      <c r="C1253" s="36">
        <f>SUM(C1248:C1251)</f>
        <v>5945.2018671214364</v>
      </c>
      <c r="D1253" s="36">
        <f t="shared" ref="D1253:K1253" si="702">SUM(D1248:D1251)</f>
        <v>10773.816911468644</v>
      </c>
      <c r="E1253" s="36">
        <f t="shared" si="702"/>
        <v>925.79315279196055</v>
      </c>
      <c r="F1253" s="36">
        <f t="shared" si="702"/>
        <v>584.93210321646995</v>
      </c>
      <c r="G1253" s="36">
        <f t="shared" si="702"/>
        <v>1343.5177928544667</v>
      </c>
      <c r="H1253" s="36">
        <f t="shared" si="702"/>
        <v>787.59061410585912</v>
      </c>
      <c r="I1253" s="36">
        <f t="shared" si="702"/>
        <v>2022.14697200775</v>
      </c>
      <c r="J1253" s="36">
        <f t="shared" si="702"/>
        <v>2893.6189093572411</v>
      </c>
      <c r="K1253" s="36">
        <f t="shared" si="702"/>
        <v>682.41837929998712</v>
      </c>
      <c r="L1253" s="131" t="s">
        <v>131</v>
      </c>
    </row>
    <row r="1254" spans="1:12" s="53" customFormat="1" ht="20.100000000000001" hidden="1" customHeight="1" thickBot="1" x14ac:dyDescent="0.3">
      <c r="A1254" s="327" t="s">
        <v>1113</v>
      </c>
      <c r="B1254" s="321" t="s">
        <v>198</v>
      </c>
      <c r="C1254" s="9">
        <v>5950.9394105853662</v>
      </c>
      <c r="D1254" s="9">
        <v>6636.4442215909103</v>
      </c>
      <c r="E1254" s="9">
        <v>885.2259954146341</v>
      </c>
      <c r="F1254" s="9">
        <v>730.35277170731706</v>
      </c>
      <c r="G1254" s="9">
        <v>1154.3071669756096</v>
      </c>
      <c r="H1254" s="9">
        <v>405.89763439024392</v>
      </c>
      <c r="I1254" s="9">
        <v>3860.9648669268295</v>
      </c>
      <c r="J1254" s="9">
        <v>2157.8499640975606</v>
      </c>
      <c r="K1254" s="9">
        <v>2012.9582022439024</v>
      </c>
      <c r="L1254" s="20" t="s">
        <v>131</v>
      </c>
    </row>
    <row r="1255" spans="1:12" s="53" customFormat="1" ht="20.100000000000001" customHeight="1" x14ac:dyDescent="0.25">
      <c r="A1255" s="327"/>
      <c r="B1255" s="322"/>
      <c r="C1255" s="10">
        <f>C1254/14.06*19.53*1.039</f>
        <v>8588.5134217349041</v>
      </c>
      <c r="D1255" s="10">
        <v>11756.495051546392</v>
      </c>
      <c r="E1255" s="10">
        <f t="shared" ref="E1255:K1255" si="703">E1254/14.06*19.53*1.039</f>
        <v>1277.5756596283973</v>
      </c>
      <c r="F1255" s="10">
        <f t="shared" si="703"/>
        <v>1054.0595609580523</v>
      </c>
      <c r="G1255" s="10">
        <f t="shared" si="703"/>
        <v>1665.9189268068255</v>
      </c>
      <c r="H1255" s="10">
        <f t="shared" si="703"/>
        <v>585.79949152400286</v>
      </c>
      <c r="I1255" s="10">
        <f t="shared" si="703"/>
        <v>5572.2208365059132</v>
      </c>
      <c r="J1255" s="10">
        <f t="shared" si="703"/>
        <v>3114.2517340668237</v>
      </c>
      <c r="K1255" s="10">
        <f t="shared" si="703"/>
        <v>2905.1410785011753</v>
      </c>
      <c r="L1255" s="26" t="s">
        <v>131</v>
      </c>
    </row>
    <row r="1256" spans="1:12" s="53" customFormat="1" ht="20.100000000000001" customHeight="1" x14ac:dyDescent="0.25">
      <c r="A1256" s="327"/>
      <c r="B1256" s="322"/>
      <c r="C1256" s="16">
        <f>C1255*0.0214</f>
        <v>183.79418722512693</v>
      </c>
      <c r="D1256" s="16">
        <f t="shared" ref="D1256:K1256" si="704">D1255*0.0214</f>
        <v>251.58899410309277</v>
      </c>
      <c r="E1256" s="16">
        <f t="shared" si="704"/>
        <v>27.340119116047699</v>
      </c>
      <c r="F1256" s="16">
        <f t="shared" si="704"/>
        <v>22.556874604502319</v>
      </c>
      <c r="G1256" s="16">
        <f t="shared" si="704"/>
        <v>35.650665033666066</v>
      </c>
      <c r="H1256" s="16">
        <f t="shared" si="704"/>
        <v>12.536109118613661</v>
      </c>
      <c r="I1256" s="16">
        <f t="shared" si="704"/>
        <v>119.24552590122654</v>
      </c>
      <c r="J1256" s="16">
        <f t="shared" si="704"/>
        <v>66.644987109030026</v>
      </c>
      <c r="K1256" s="16">
        <f t="shared" si="704"/>
        <v>62.170019079925147</v>
      </c>
      <c r="L1256" s="15" t="s">
        <v>131</v>
      </c>
    </row>
    <row r="1257" spans="1:12" s="53" customFormat="1" ht="20.100000000000001" hidden="1" customHeight="1" x14ac:dyDescent="0.25">
      <c r="A1257" s="327"/>
      <c r="B1257" s="322"/>
      <c r="C1257" s="16">
        <f>17255/2948.8</f>
        <v>5.8515328269126421</v>
      </c>
      <c r="D1257" s="16">
        <f>12877/590</f>
        <v>21.825423728813558</v>
      </c>
      <c r="E1257" s="16">
        <f>8432/2948.8</f>
        <v>2.8594682582745521</v>
      </c>
      <c r="F1257" s="16">
        <f>32013/2/2948.8</f>
        <v>5.428140260444926</v>
      </c>
      <c r="G1257" s="16">
        <f>29371/2948.8</f>
        <v>9.9603228431904505</v>
      </c>
      <c r="H1257" s="16">
        <f>F1257</f>
        <v>5.428140260444926</v>
      </c>
      <c r="I1257" s="16">
        <f>43906/2948.8</f>
        <v>14.889446554530656</v>
      </c>
      <c r="J1257" s="16">
        <f>3332/2948.8</f>
        <v>1.1299511665762343</v>
      </c>
      <c r="K1257" s="16">
        <f>J1257</f>
        <v>1.1299511665762343</v>
      </c>
      <c r="L1257" s="15" t="s">
        <v>131</v>
      </c>
    </row>
    <row r="1258" spans="1:12" s="53" customFormat="1" ht="20.100000000000001" hidden="1" customHeight="1" thickBot="1" x14ac:dyDescent="0.3">
      <c r="A1258" s="327"/>
      <c r="B1258" s="322"/>
      <c r="C1258" s="43">
        <f>(1/2050.3)*261543.3*1.2*P4</f>
        <v>189.59967406222961</v>
      </c>
      <c r="D1258" s="27">
        <f>(1/2050.3)*91539.9*1.2*P4</f>
        <v>66.359701065517996</v>
      </c>
      <c r="E1258" s="27">
        <f>(1/2050.3)*174362.88*1.2*P4</f>
        <v>126.40027565818608</v>
      </c>
      <c r="F1258" s="27">
        <f>(1/2050.3)*130772.16*1.2*P4</f>
        <v>94.800206743639563</v>
      </c>
      <c r="G1258" s="27">
        <f>(1/2050.3)*130772.16*1.2*P4</f>
        <v>94.800206743639563</v>
      </c>
      <c r="H1258" s="28">
        <f>(1/2050.3)*130772.16*1.2*P4</f>
        <v>94.800206743639563</v>
      </c>
      <c r="I1258" s="28">
        <f>(1/2050.3)*172183.14*1.2*P4</f>
        <v>124.82012432744887</v>
      </c>
      <c r="J1258" s="28">
        <f>(1/2050.3)*213594.12*1.2*P4</f>
        <v>154.84004191125814</v>
      </c>
      <c r="K1258" s="28">
        <f>(1/2050.3)*91539.9*1.2*P4</f>
        <v>66.359701065517996</v>
      </c>
      <c r="L1258" s="34" t="s">
        <v>131</v>
      </c>
    </row>
    <row r="1259" spans="1:12" s="53" customFormat="1" ht="20.100000000000001" customHeight="1" thickBot="1" x14ac:dyDescent="0.3">
      <c r="A1259" s="327"/>
      <c r="B1259" s="323"/>
      <c r="C1259" s="64">
        <f>C1258+C1257</f>
        <v>195.45120688914224</v>
      </c>
      <c r="D1259" s="64">
        <f t="shared" ref="D1259:K1259" si="705">D1258+D1257</f>
        <v>88.185124794331557</v>
      </c>
      <c r="E1259" s="64">
        <f t="shared" si="705"/>
        <v>129.25974391646062</v>
      </c>
      <c r="F1259" s="64">
        <f t="shared" si="705"/>
        <v>100.22834700408448</v>
      </c>
      <c r="G1259" s="64">
        <f t="shared" si="705"/>
        <v>104.76052958683002</v>
      </c>
      <c r="H1259" s="64">
        <f t="shared" si="705"/>
        <v>100.22834700408448</v>
      </c>
      <c r="I1259" s="64">
        <f t="shared" si="705"/>
        <v>139.70957088197952</v>
      </c>
      <c r="J1259" s="64">
        <f t="shared" si="705"/>
        <v>155.96999307783437</v>
      </c>
      <c r="K1259" s="64">
        <f t="shared" si="705"/>
        <v>67.48965223209423</v>
      </c>
      <c r="L1259" s="34" t="s">
        <v>131</v>
      </c>
    </row>
    <row r="1260" spans="1:12" s="53" customFormat="1" ht="20.100000000000001" customHeight="1" thickBot="1" x14ac:dyDescent="0.3">
      <c r="A1260" s="328"/>
      <c r="B1260" s="265" t="s">
        <v>212</v>
      </c>
      <c r="C1260" s="36">
        <f>SUM(C1255:C1258)</f>
        <v>8967.7588158491744</v>
      </c>
      <c r="D1260" s="36">
        <f t="shared" ref="D1260:K1260" si="706">SUM(D1255:D1258)</f>
        <v>12096.269170443815</v>
      </c>
      <c r="E1260" s="36">
        <f t="shared" si="706"/>
        <v>1434.1755226609055</v>
      </c>
      <c r="F1260" s="36">
        <f t="shared" si="706"/>
        <v>1176.8447825666392</v>
      </c>
      <c r="G1260" s="36">
        <f t="shared" si="706"/>
        <v>1806.3301214273215</v>
      </c>
      <c r="H1260" s="36">
        <f t="shared" si="706"/>
        <v>698.56394764670108</v>
      </c>
      <c r="I1260" s="36">
        <f t="shared" si="706"/>
        <v>5831.1759332891197</v>
      </c>
      <c r="J1260" s="36">
        <f t="shared" si="706"/>
        <v>3336.8667142536879</v>
      </c>
      <c r="K1260" s="36">
        <f t="shared" si="706"/>
        <v>3034.8007498131947</v>
      </c>
      <c r="L1260" s="37" t="s">
        <v>131</v>
      </c>
    </row>
    <row r="1261" spans="1:12" s="53" customFormat="1" ht="18" customHeight="1" thickBot="1" x14ac:dyDescent="0.3">
      <c r="A1261" s="311" t="s">
        <v>1114</v>
      </c>
      <c r="B1261" s="312"/>
      <c r="C1261" s="312"/>
      <c r="D1261" s="312"/>
      <c r="E1261" s="312"/>
      <c r="F1261" s="312"/>
      <c r="G1261" s="312"/>
      <c r="H1261" s="312"/>
      <c r="I1261" s="312"/>
      <c r="J1261" s="312"/>
      <c r="K1261" s="312"/>
      <c r="L1261" s="313"/>
    </row>
    <row r="1262" spans="1:12" s="81" customFormat="1" ht="20.100000000000001" hidden="1" customHeight="1" thickBot="1" x14ac:dyDescent="0.3">
      <c r="A1262" s="327" t="s">
        <v>1115</v>
      </c>
      <c r="B1262" s="321" t="s">
        <v>115</v>
      </c>
      <c r="C1262" s="78">
        <v>18860.745366877709</v>
      </c>
      <c r="D1262" s="78">
        <v>13017.525320000001</v>
      </c>
      <c r="E1262" s="78">
        <v>1328.4842049316894</v>
      </c>
      <c r="F1262" s="78">
        <v>740.16460746417863</v>
      </c>
      <c r="G1262" s="78"/>
      <c r="H1262" s="78">
        <v>483.31367044318557</v>
      </c>
      <c r="I1262" s="78">
        <v>4976.4244488503837</v>
      </c>
      <c r="J1262" s="78">
        <v>6366.8476674441854</v>
      </c>
      <c r="K1262" s="18" t="s">
        <v>131</v>
      </c>
      <c r="L1262" s="34" t="s">
        <v>131</v>
      </c>
    </row>
    <row r="1263" spans="1:12" s="81" customFormat="1" ht="20.100000000000001" customHeight="1" x14ac:dyDescent="0.25">
      <c r="A1263" s="327"/>
      <c r="B1263" s="322"/>
      <c r="C1263" s="7">
        <f>C1262/12.79*19.53*1.039</f>
        <v>29923.066531564611</v>
      </c>
      <c r="D1263" s="7">
        <f t="shared" ref="D1263:J1263" si="707">D1262/12.79*19.53*1.039</f>
        <v>20652.644879600033</v>
      </c>
      <c r="E1263" s="7">
        <f t="shared" si="707"/>
        <v>2107.6749872311352</v>
      </c>
      <c r="F1263" s="7">
        <f t="shared" si="707"/>
        <v>1174.290536383319</v>
      </c>
      <c r="G1263" s="7" t="s">
        <v>131</v>
      </c>
      <c r="H1263" s="7">
        <f t="shared" si="707"/>
        <v>766.78979727301601</v>
      </c>
      <c r="I1263" s="7">
        <f t="shared" si="707"/>
        <v>7895.227732291155</v>
      </c>
      <c r="J1263" s="7">
        <f t="shared" si="707"/>
        <v>10101.170587024797</v>
      </c>
      <c r="K1263" s="7" t="s">
        <v>131</v>
      </c>
      <c r="L1263" s="8" t="s">
        <v>131</v>
      </c>
    </row>
    <row r="1264" spans="1:12" s="81" customFormat="1" ht="20.100000000000001" customHeight="1" x14ac:dyDescent="0.25">
      <c r="A1264" s="327"/>
      <c r="B1264" s="322"/>
      <c r="C1264" s="35">
        <f>C1263*0.0214</f>
        <v>640.35362377548267</v>
      </c>
      <c r="D1264" s="35">
        <f t="shared" ref="D1264:J1264" si="708">D1263*0.0214</f>
        <v>441.9666004234407</v>
      </c>
      <c r="E1264" s="35">
        <f t="shared" si="708"/>
        <v>45.104244726746295</v>
      </c>
      <c r="F1264" s="35">
        <f t="shared" si="708"/>
        <v>25.129817478603027</v>
      </c>
      <c r="G1264" s="35" t="s">
        <v>131</v>
      </c>
      <c r="H1264" s="35">
        <f t="shared" si="708"/>
        <v>16.409301661642541</v>
      </c>
      <c r="I1264" s="35">
        <f t="shared" si="708"/>
        <v>168.95787347103069</v>
      </c>
      <c r="J1264" s="35">
        <f t="shared" si="708"/>
        <v>216.16505056233063</v>
      </c>
      <c r="K1264" s="35" t="s">
        <v>131</v>
      </c>
      <c r="L1264" s="26" t="s">
        <v>131</v>
      </c>
    </row>
    <row r="1265" spans="1:12" s="81" customFormat="1" ht="20.100000000000001" hidden="1" customHeight="1" x14ac:dyDescent="0.25">
      <c r="A1265" s="327"/>
      <c r="B1265" s="322"/>
      <c r="C1265" s="16">
        <f>42820/300.1</f>
        <v>142.68577140953013</v>
      </c>
      <c r="D1265" s="16">
        <f>42169/300</f>
        <v>140.56333333333333</v>
      </c>
      <c r="E1265" s="16">
        <f>41128/300.1</f>
        <v>137.0476507830723</v>
      </c>
      <c r="F1265" s="16">
        <f>41241/2/300</f>
        <v>68.734999999999999</v>
      </c>
      <c r="G1265" s="16" t="s">
        <v>131</v>
      </c>
      <c r="H1265" s="16">
        <f>F1265</f>
        <v>68.734999999999999</v>
      </c>
      <c r="I1265" s="16">
        <f>41510/300</f>
        <v>138.36666666666667</v>
      </c>
      <c r="J1265" s="16">
        <f>40751/300</f>
        <v>135.83666666666667</v>
      </c>
      <c r="K1265" s="16" t="s">
        <v>131</v>
      </c>
      <c r="L1265" s="15" t="s">
        <v>131</v>
      </c>
    </row>
    <row r="1266" spans="1:12" s="81" customFormat="1" ht="20.100000000000001" hidden="1" customHeight="1" thickBot="1" x14ac:dyDescent="0.3">
      <c r="A1266" s="327"/>
      <c r="B1266" s="322"/>
      <c r="C1266" s="9">
        <f>(1/300.1)*79590.6*1.2*P4</f>
        <v>394.19143369964399</v>
      </c>
      <c r="D1266" s="9">
        <f>(1/300.1)*67651.5*1.2*P4</f>
        <v>335.06019274803128</v>
      </c>
      <c r="E1266" s="9">
        <f>(1/300.1)*53060.4*1.2*P4</f>
        <v>262.79428913309596</v>
      </c>
      <c r="F1266" s="9">
        <f>(1/300.1)*39795.3*1.2*P4</f>
        <v>197.095716849822</v>
      </c>
      <c r="G1266" s="9" t="s">
        <v>131</v>
      </c>
      <c r="H1266" s="9">
        <f>(1/300.1)*39795.3*1.2*P4</f>
        <v>197.095716849822</v>
      </c>
      <c r="I1266" s="24">
        <f>(1/300.1)*52397.4*1.2*P4</f>
        <v>259.51062346726525</v>
      </c>
      <c r="J1266" s="24">
        <f>(1/300.1)*64998.48*1.2*P4</f>
        <v>321.92047829137653</v>
      </c>
      <c r="K1266" s="9" t="s">
        <v>131</v>
      </c>
      <c r="L1266" s="21" t="s">
        <v>131</v>
      </c>
    </row>
    <row r="1267" spans="1:12" s="81" customFormat="1" ht="20.100000000000001" customHeight="1" thickBot="1" x14ac:dyDescent="0.3">
      <c r="A1267" s="327"/>
      <c r="B1267" s="323"/>
      <c r="C1267" s="64">
        <f>C1266+C1265</f>
        <v>536.87720510917416</v>
      </c>
      <c r="D1267" s="64">
        <f t="shared" ref="D1267:J1267" si="709">D1266+D1265</f>
        <v>475.62352608136462</v>
      </c>
      <c r="E1267" s="64">
        <f t="shared" si="709"/>
        <v>399.84193991616826</v>
      </c>
      <c r="F1267" s="64">
        <f t="shared" si="709"/>
        <v>265.83071684982201</v>
      </c>
      <c r="G1267" s="64" t="s">
        <v>131</v>
      </c>
      <c r="H1267" s="64">
        <f t="shared" si="709"/>
        <v>265.83071684982201</v>
      </c>
      <c r="I1267" s="64">
        <f t="shared" si="709"/>
        <v>397.87729013393192</v>
      </c>
      <c r="J1267" s="64">
        <f t="shared" si="709"/>
        <v>457.75714495804323</v>
      </c>
      <c r="K1267" s="64" t="s">
        <v>131</v>
      </c>
      <c r="L1267" s="20" t="s">
        <v>131</v>
      </c>
    </row>
    <row r="1268" spans="1:12" s="81" customFormat="1" ht="20.100000000000001" customHeight="1" thickBot="1" x14ac:dyDescent="0.3">
      <c r="A1268" s="328"/>
      <c r="B1268" s="265" t="s">
        <v>212</v>
      </c>
      <c r="C1268" s="133">
        <f>SUM(C1263:C1266)</f>
        <v>31100.297360449269</v>
      </c>
      <c r="D1268" s="133">
        <f t="shared" ref="D1268:J1268" si="710">SUM(D1263:D1266)</f>
        <v>21570.235006104838</v>
      </c>
      <c r="E1268" s="133">
        <f t="shared" si="710"/>
        <v>2552.6211718740497</v>
      </c>
      <c r="F1268" s="133">
        <f t="shared" si="710"/>
        <v>1465.251070711744</v>
      </c>
      <c r="G1268" s="133" t="s">
        <v>131</v>
      </c>
      <c r="H1268" s="133">
        <f t="shared" si="710"/>
        <v>1049.0298157844804</v>
      </c>
      <c r="I1268" s="133">
        <f t="shared" si="710"/>
        <v>8462.062895896117</v>
      </c>
      <c r="J1268" s="133">
        <f t="shared" si="710"/>
        <v>10775.092782545171</v>
      </c>
      <c r="K1268" s="133" t="s">
        <v>131</v>
      </c>
      <c r="L1268" s="125" t="s">
        <v>131</v>
      </c>
    </row>
    <row r="1269" spans="1:12" s="53" customFormat="1" ht="20.100000000000001" customHeight="1" thickBot="1" x14ac:dyDescent="0.3">
      <c r="A1269" s="311" t="s">
        <v>1116</v>
      </c>
      <c r="B1269" s="312"/>
      <c r="C1269" s="312"/>
      <c r="D1269" s="312"/>
      <c r="E1269" s="312"/>
      <c r="F1269" s="312"/>
      <c r="G1269" s="312"/>
      <c r="H1269" s="312"/>
      <c r="I1269" s="312"/>
      <c r="J1269" s="312"/>
      <c r="K1269" s="312"/>
      <c r="L1269" s="313"/>
    </row>
    <row r="1270" spans="1:12" s="53" customFormat="1" ht="20.100000000000001" hidden="1" customHeight="1" thickBot="1" x14ac:dyDescent="0.3">
      <c r="A1270" s="327" t="s">
        <v>1117</v>
      </c>
      <c r="B1270" s="321" t="s">
        <v>238</v>
      </c>
      <c r="C1270" s="9">
        <v>7569.01039438315</v>
      </c>
      <c r="D1270" s="9">
        <v>9885.6885093750006</v>
      </c>
      <c r="E1270" s="9">
        <v>1099.6345594784357</v>
      </c>
      <c r="F1270" s="9">
        <v>699.12929969909737</v>
      </c>
      <c r="G1270" s="9">
        <v>1710.7042958876632</v>
      </c>
      <c r="H1270" s="9">
        <v>790.73158615847547</v>
      </c>
      <c r="I1270" s="9">
        <v>4148.8722330992987</v>
      </c>
      <c r="J1270" s="9">
        <v>5169.435625275828</v>
      </c>
      <c r="K1270" s="9" t="s">
        <v>131</v>
      </c>
      <c r="L1270" s="20" t="s">
        <v>131</v>
      </c>
    </row>
    <row r="1271" spans="1:12" s="53" customFormat="1" ht="20.100000000000001" customHeight="1" x14ac:dyDescent="0.25">
      <c r="A1271" s="327"/>
      <c r="B1271" s="322"/>
      <c r="C1271" s="7">
        <f>C1270/13.19*19.53*1.0139</f>
        <v>11362.96509075322</v>
      </c>
      <c r="D1271" s="7">
        <v>18096.23</v>
      </c>
      <c r="E1271" s="7">
        <f t="shared" ref="E1271:J1271" si="711">E1270/13.19*19.53*1.0139</f>
        <v>1650.8246733564658</v>
      </c>
      <c r="F1271" s="7">
        <f t="shared" si="711"/>
        <v>1049.5667745811061</v>
      </c>
      <c r="G1271" s="7">
        <f t="shared" si="711"/>
        <v>2568.192165411509</v>
      </c>
      <c r="H1271" s="7">
        <f t="shared" si="711"/>
        <v>1187.0845647592653</v>
      </c>
      <c r="I1271" s="7">
        <f t="shared" si="711"/>
        <v>6228.4879917310136</v>
      </c>
      <c r="J1271" s="7">
        <f t="shared" si="711"/>
        <v>7760.6071980685138</v>
      </c>
      <c r="K1271" s="7" t="s">
        <v>131</v>
      </c>
      <c r="L1271" s="8" t="s">
        <v>131</v>
      </c>
    </row>
    <row r="1272" spans="1:12" s="53" customFormat="1" ht="20.100000000000001" customHeight="1" x14ac:dyDescent="0.25">
      <c r="A1272" s="327"/>
      <c r="B1272" s="322"/>
      <c r="C1272" s="35">
        <f>C1271*0.0214</f>
        <v>243.1674529421189</v>
      </c>
      <c r="D1272" s="35">
        <f t="shared" ref="D1272:J1272" si="712">D1271*0.0214</f>
        <v>387.259322</v>
      </c>
      <c r="E1272" s="35">
        <f t="shared" si="712"/>
        <v>35.327648009828366</v>
      </c>
      <c r="F1272" s="35">
        <f t="shared" si="712"/>
        <v>22.460728976035668</v>
      </c>
      <c r="G1272" s="35">
        <f t="shared" si="712"/>
        <v>54.959312339806289</v>
      </c>
      <c r="H1272" s="35">
        <f t="shared" si="712"/>
        <v>25.403609685848277</v>
      </c>
      <c r="I1272" s="35">
        <f t="shared" si="712"/>
        <v>133.28964302304368</v>
      </c>
      <c r="J1272" s="35">
        <f t="shared" si="712"/>
        <v>166.07699403866619</v>
      </c>
      <c r="K1272" s="35" t="s">
        <v>131</v>
      </c>
      <c r="L1272" s="15" t="s">
        <v>131</v>
      </c>
    </row>
    <row r="1273" spans="1:12" s="53" customFormat="1" ht="20.100000000000001" hidden="1" customHeight="1" x14ac:dyDescent="0.25">
      <c r="A1273" s="327"/>
      <c r="B1273" s="322"/>
      <c r="C1273" s="16">
        <f>35686/498.5</f>
        <v>71.586760280842526</v>
      </c>
      <c r="D1273" s="16">
        <f>34605/498.5</f>
        <v>69.418254764292882</v>
      </c>
      <c r="E1273" s="16">
        <f>32875/498.5</f>
        <v>65.947843530591769</v>
      </c>
      <c r="F1273" s="16">
        <f>33064/2/498.5</f>
        <v>33.163490471414242</v>
      </c>
      <c r="G1273" s="16">
        <f>32840/498.5</f>
        <v>65.877632898696092</v>
      </c>
      <c r="H1273" s="16">
        <f>F1273</f>
        <v>33.163490471414242</v>
      </c>
      <c r="I1273" s="16">
        <f>33510/498.5</f>
        <v>67.221664994984948</v>
      </c>
      <c r="J1273" s="16">
        <f>32249/498.5</f>
        <v>64.692076228686062</v>
      </c>
      <c r="K1273" s="16" t="s">
        <v>131</v>
      </c>
      <c r="L1273" s="15" t="s">
        <v>131</v>
      </c>
    </row>
    <row r="1274" spans="1:12" s="53" customFormat="1" ht="20.100000000000001" hidden="1" customHeight="1" thickBot="1" x14ac:dyDescent="0.3">
      <c r="A1274" s="327"/>
      <c r="B1274" s="322"/>
      <c r="C1274" s="67">
        <f>(1/498.5)*82802.58*1.2*P4</f>
        <v>246.88238560434985</v>
      </c>
      <c r="D1274" s="67">
        <f>(1/498.5)*28981.26*1.2*P4</f>
        <v>86.409899385018193</v>
      </c>
      <c r="E1274" s="67">
        <f>(1/498.5)*55202.4*1.2*P4</f>
        <v>164.59028454289182</v>
      </c>
      <c r="F1274" s="67">
        <f>(1/498.5)*41401.8*1.2*P4</f>
        <v>123.44271340716888</v>
      </c>
      <c r="G1274" s="67">
        <f>(1/498.5)*41401.8*1.2*P4</f>
        <v>123.44271340716888</v>
      </c>
      <c r="H1274" s="68">
        <f>(1/498.5)*41401.8*1.2*P4</f>
        <v>123.44271340716888</v>
      </c>
      <c r="I1274" s="68">
        <f>(1/498.5)*51401.8*1.2*P4</f>
        <v>153.25849760185821</v>
      </c>
      <c r="J1274" s="68">
        <f>(1/498.5)*67621.92*1.2*P4</f>
        <v>201.6200573550546</v>
      </c>
      <c r="K1274" s="67" t="s">
        <v>131</v>
      </c>
      <c r="L1274" s="34" t="s">
        <v>131</v>
      </c>
    </row>
    <row r="1275" spans="1:12" s="53" customFormat="1" ht="20.100000000000001" customHeight="1" thickBot="1" x14ac:dyDescent="0.3">
      <c r="A1275" s="327"/>
      <c r="B1275" s="323"/>
      <c r="C1275" s="18">
        <f>C1274+C1273</f>
        <v>318.46914588519235</v>
      </c>
      <c r="D1275" s="18">
        <f t="shared" ref="D1275:J1275" si="713">D1274+D1273</f>
        <v>155.82815414931108</v>
      </c>
      <c r="E1275" s="18">
        <f t="shared" si="713"/>
        <v>230.53812807348359</v>
      </c>
      <c r="F1275" s="18">
        <f t="shared" si="713"/>
        <v>156.60620387858313</v>
      </c>
      <c r="G1275" s="18">
        <f t="shared" si="713"/>
        <v>189.32034630586497</v>
      </c>
      <c r="H1275" s="18">
        <f t="shared" si="713"/>
        <v>156.60620387858313</v>
      </c>
      <c r="I1275" s="18">
        <f t="shared" si="713"/>
        <v>220.48016259684317</v>
      </c>
      <c r="J1275" s="18">
        <f t="shared" si="713"/>
        <v>266.31213358374066</v>
      </c>
      <c r="K1275" s="18" t="s">
        <v>131</v>
      </c>
      <c r="L1275" s="34" t="s">
        <v>131</v>
      </c>
    </row>
    <row r="1276" spans="1:12" s="53" customFormat="1" ht="20.100000000000001" customHeight="1" thickBot="1" x14ac:dyDescent="0.3">
      <c r="A1276" s="328"/>
      <c r="B1276" s="259" t="s">
        <v>212</v>
      </c>
      <c r="C1276" s="36">
        <f>SUM(C1271:C1274)</f>
        <v>11924.601689580531</v>
      </c>
      <c r="D1276" s="36">
        <f t="shared" ref="D1276:J1276" si="714">SUM(D1271:D1274)</f>
        <v>18639.31747614931</v>
      </c>
      <c r="E1276" s="36">
        <f t="shared" si="714"/>
        <v>1916.6904494397779</v>
      </c>
      <c r="F1276" s="36">
        <f t="shared" si="714"/>
        <v>1228.6337074357248</v>
      </c>
      <c r="G1276" s="36">
        <f t="shared" si="714"/>
        <v>2812.4718240571801</v>
      </c>
      <c r="H1276" s="36">
        <f t="shared" si="714"/>
        <v>1369.0943783236967</v>
      </c>
      <c r="I1276" s="36">
        <f t="shared" si="714"/>
        <v>6582.2577973509005</v>
      </c>
      <c r="J1276" s="36">
        <f t="shared" si="714"/>
        <v>8192.9963256909214</v>
      </c>
      <c r="K1276" s="36" t="s">
        <v>131</v>
      </c>
      <c r="L1276" s="37" t="s">
        <v>131</v>
      </c>
    </row>
    <row r="1277" spans="1:12" s="81" customFormat="1" ht="20.100000000000001" hidden="1" customHeight="1" thickBot="1" x14ac:dyDescent="0.3">
      <c r="A1277" s="327" t="s">
        <v>1118</v>
      </c>
      <c r="B1277" s="321" t="s">
        <v>199</v>
      </c>
      <c r="C1277" s="9">
        <v>7569.01039438315</v>
      </c>
      <c r="D1277" s="9">
        <v>9885.6885093750006</v>
      </c>
      <c r="E1277" s="9">
        <v>1099.6345594784357</v>
      </c>
      <c r="F1277" s="9">
        <v>699.12929969909737</v>
      </c>
      <c r="G1277" s="9">
        <v>1710.7042958876632</v>
      </c>
      <c r="H1277" s="9">
        <v>790.73158615847547</v>
      </c>
      <c r="I1277" s="9">
        <v>4148.8722330992987</v>
      </c>
      <c r="J1277" s="9">
        <v>5169.435625275828</v>
      </c>
      <c r="K1277" s="9" t="s">
        <v>131</v>
      </c>
      <c r="L1277" s="20" t="s">
        <v>131</v>
      </c>
    </row>
    <row r="1278" spans="1:12" s="81" customFormat="1" ht="20.100000000000001" customHeight="1" x14ac:dyDescent="0.25">
      <c r="A1278" s="327"/>
      <c r="B1278" s="322"/>
      <c r="C1278" s="7">
        <f>C1277/13.19*19.53*1.0139</f>
        <v>11362.96509075322</v>
      </c>
      <c r="D1278" s="7">
        <v>18096.23</v>
      </c>
      <c r="E1278" s="7">
        <f t="shared" ref="E1278:J1278" si="715">E1277/13.19*19.53*1.0139</f>
        <v>1650.8246733564658</v>
      </c>
      <c r="F1278" s="7">
        <f t="shared" si="715"/>
        <v>1049.5667745811061</v>
      </c>
      <c r="G1278" s="7">
        <f t="shared" si="715"/>
        <v>2568.192165411509</v>
      </c>
      <c r="H1278" s="7">
        <f t="shared" si="715"/>
        <v>1187.0845647592653</v>
      </c>
      <c r="I1278" s="7">
        <f t="shared" si="715"/>
        <v>6228.4879917310136</v>
      </c>
      <c r="J1278" s="7">
        <f t="shared" si="715"/>
        <v>7760.6071980685138</v>
      </c>
      <c r="K1278" s="7" t="s">
        <v>131</v>
      </c>
      <c r="L1278" s="8" t="s">
        <v>131</v>
      </c>
    </row>
    <row r="1279" spans="1:12" s="81" customFormat="1" ht="20.100000000000001" customHeight="1" x14ac:dyDescent="0.25">
      <c r="A1279" s="327"/>
      <c r="B1279" s="322"/>
      <c r="C1279" s="35">
        <f>C1278*0.0214</f>
        <v>243.1674529421189</v>
      </c>
      <c r="D1279" s="35">
        <f t="shared" ref="D1279:J1279" si="716">D1278*0.0214</f>
        <v>387.259322</v>
      </c>
      <c r="E1279" s="35">
        <f t="shared" si="716"/>
        <v>35.327648009828366</v>
      </c>
      <c r="F1279" s="35">
        <f t="shared" si="716"/>
        <v>22.460728976035668</v>
      </c>
      <c r="G1279" s="35">
        <f t="shared" si="716"/>
        <v>54.959312339806289</v>
      </c>
      <c r="H1279" s="35">
        <f t="shared" si="716"/>
        <v>25.403609685848277</v>
      </c>
      <c r="I1279" s="35">
        <f t="shared" si="716"/>
        <v>133.28964302304368</v>
      </c>
      <c r="J1279" s="35">
        <f t="shared" si="716"/>
        <v>166.07699403866619</v>
      </c>
      <c r="K1279" s="35" t="s">
        <v>131</v>
      </c>
      <c r="L1279" s="15" t="s">
        <v>131</v>
      </c>
    </row>
    <row r="1280" spans="1:12" s="81" customFormat="1" ht="20.100000000000001" hidden="1" customHeight="1" x14ac:dyDescent="0.25">
      <c r="A1280" s="327"/>
      <c r="B1280" s="322"/>
      <c r="C1280" s="16">
        <f>35686/498.5</f>
        <v>71.586760280842526</v>
      </c>
      <c r="D1280" s="16">
        <f>34605/498.5</f>
        <v>69.418254764292882</v>
      </c>
      <c r="E1280" s="16">
        <f>32875/498.5</f>
        <v>65.947843530591769</v>
      </c>
      <c r="F1280" s="16">
        <f>33064/2/498.5</f>
        <v>33.163490471414242</v>
      </c>
      <c r="G1280" s="16">
        <f>32840/498.5</f>
        <v>65.877632898696092</v>
      </c>
      <c r="H1280" s="16">
        <f>F1280</f>
        <v>33.163490471414242</v>
      </c>
      <c r="I1280" s="16">
        <f>33510/498.5</f>
        <v>67.221664994984948</v>
      </c>
      <c r="J1280" s="16">
        <f>32249/498.5</f>
        <v>64.692076228686062</v>
      </c>
      <c r="K1280" s="16" t="s">
        <v>131</v>
      </c>
      <c r="L1280" s="15" t="s">
        <v>131</v>
      </c>
    </row>
    <row r="1281" spans="1:12" s="81" customFormat="1" ht="20.100000000000001" hidden="1" customHeight="1" thickBot="1" x14ac:dyDescent="0.3">
      <c r="A1281" s="327"/>
      <c r="B1281" s="322"/>
      <c r="C1281" s="67">
        <f>(1/498.5)*82802.58*1.2*P4</f>
        <v>246.88238560434985</v>
      </c>
      <c r="D1281" s="67">
        <f>(1/498.5)*28981.26*1.2*P4</f>
        <v>86.409899385018193</v>
      </c>
      <c r="E1281" s="67">
        <f>(1/498.5)*55202.4*1.2*P4</f>
        <v>164.59028454289182</v>
      </c>
      <c r="F1281" s="67">
        <f>(1/498.5)*41401.8*1.2*P4</f>
        <v>123.44271340716888</v>
      </c>
      <c r="G1281" s="67">
        <f>(1/498.5)*41401.8*1.2*P4</f>
        <v>123.44271340716888</v>
      </c>
      <c r="H1281" s="68">
        <f>(1/498.5)*41401.8*1.2*P4</f>
        <v>123.44271340716888</v>
      </c>
      <c r="I1281" s="68">
        <f>(1/498.5)*51401.8*1.2*P4</f>
        <v>153.25849760185821</v>
      </c>
      <c r="J1281" s="68">
        <f>(1/498.5)*67621.92*1.2*P4</f>
        <v>201.6200573550546</v>
      </c>
      <c r="K1281" s="67" t="s">
        <v>131</v>
      </c>
      <c r="L1281" s="34" t="s">
        <v>131</v>
      </c>
    </row>
    <row r="1282" spans="1:12" s="81" customFormat="1" ht="20.100000000000001" customHeight="1" thickBot="1" x14ac:dyDescent="0.3">
      <c r="A1282" s="327"/>
      <c r="B1282" s="323"/>
      <c r="C1282" s="18">
        <f>C1281+C1280</f>
        <v>318.46914588519235</v>
      </c>
      <c r="D1282" s="18">
        <f t="shared" ref="D1282:J1282" si="717">D1281+D1280</f>
        <v>155.82815414931108</v>
      </c>
      <c r="E1282" s="18">
        <f t="shared" si="717"/>
        <v>230.53812807348359</v>
      </c>
      <c r="F1282" s="18">
        <f t="shared" si="717"/>
        <v>156.60620387858313</v>
      </c>
      <c r="G1282" s="18">
        <f t="shared" si="717"/>
        <v>189.32034630586497</v>
      </c>
      <c r="H1282" s="18">
        <f t="shared" si="717"/>
        <v>156.60620387858313</v>
      </c>
      <c r="I1282" s="18">
        <f t="shared" si="717"/>
        <v>220.48016259684317</v>
      </c>
      <c r="J1282" s="18">
        <f t="shared" si="717"/>
        <v>266.31213358374066</v>
      </c>
      <c r="K1282" s="18" t="s">
        <v>131</v>
      </c>
      <c r="L1282" s="34" t="s">
        <v>131</v>
      </c>
    </row>
    <row r="1283" spans="1:12" s="81" customFormat="1" ht="20.100000000000001" customHeight="1" thickBot="1" x14ac:dyDescent="0.3">
      <c r="A1283" s="328"/>
      <c r="B1283" s="259" t="s">
        <v>212</v>
      </c>
      <c r="C1283" s="36">
        <f>SUM(C1278:C1281)</f>
        <v>11924.601689580531</v>
      </c>
      <c r="D1283" s="36">
        <f t="shared" ref="D1283:J1283" si="718">SUM(D1278:D1281)</f>
        <v>18639.31747614931</v>
      </c>
      <c r="E1283" s="36">
        <f t="shared" si="718"/>
        <v>1916.6904494397779</v>
      </c>
      <c r="F1283" s="36">
        <f t="shared" si="718"/>
        <v>1228.6337074357248</v>
      </c>
      <c r="G1283" s="36">
        <f t="shared" si="718"/>
        <v>2812.4718240571801</v>
      </c>
      <c r="H1283" s="36">
        <f t="shared" si="718"/>
        <v>1369.0943783236967</v>
      </c>
      <c r="I1283" s="36">
        <f t="shared" si="718"/>
        <v>6582.2577973509005</v>
      </c>
      <c r="J1283" s="36">
        <f t="shared" si="718"/>
        <v>8192.9963256909214</v>
      </c>
      <c r="K1283" s="36" t="s">
        <v>131</v>
      </c>
      <c r="L1283" s="37" t="s">
        <v>131</v>
      </c>
    </row>
    <row r="1284" spans="1:12" s="81" customFormat="1" ht="20.100000000000001" hidden="1" customHeight="1" thickBot="1" x14ac:dyDescent="0.3">
      <c r="A1284" s="327" t="s">
        <v>1119</v>
      </c>
      <c r="B1284" s="321" t="s">
        <v>200</v>
      </c>
      <c r="C1284" s="9">
        <v>5347.1976487309648</v>
      </c>
      <c r="D1284" s="9">
        <v>7932.0046387499997</v>
      </c>
      <c r="E1284" s="9">
        <v>795.03062131979698</v>
      </c>
      <c r="F1284" s="9">
        <v>505.45827106598983</v>
      </c>
      <c r="G1284" s="9">
        <v>1236.7921888324875</v>
      </c>
      <c r="H1284" s="9">
        <v>562.80225685279197</v>
      </c>
      <c r="I1284" s="9">
        <v>2999.4747137055838</v>
      </c>
      <c r="J1284" s="9">
        <v>3349.0676741116754</v>
      </c>
      <c r="K1284" s="9" t="s">
        <v>131</v>
      </c>
      <c r="L1284" s="20" t="s">
        <v>131</v>
      </c>
    </row>
    <row r="1285" spans="1:12" s="81" customFormat="1" ht="20.100000000000001" customHeight="1" x14ac:dyDescent="0.25">
      <c r="A1285" s="327"/>
      <c r="B1285" s="322"/>
      <c r="C1285" s="7">
        <v>11362.96509075322</v>
      </c>
      <c r="D1285" s="7">
        <f t="shared" ref="D1285:J1285" si="719">D1284/13.19*19.53*1.039</f>
        <v>12202.700573766808</v>
      </c>
      <c r="E1285" s="7">
        <f t="shared" si="719"/>
        <v>1223.0855957328495</v>
      </c>
      <c r="F1285" s="7">
        <f t="shared" si="719"/>
        <v>777.60367211839377</v>
      </c>
      <c r="G1285" s="7">
        <f t="shared" si="719"/>
        <v>1902.6974188299107</v>
      </c>
      <c r="H1285" s="7">
        <f t="shared" si="719"/>
        <v>865.82241632388877</v>
      </c>
      <c r="I1285" s="7">
        <f t="shared" si="719"/>
        <v>4614.4314680711286</v>
      </c>
      <c r="J1285" s="7">
        <f t="shared" si="719"/>
        <v>5152.2498901244626</v>
      </c>
      <c r="K1285" s="7" t="s">
        <v>131</v>
      </c>
      <c r="L1285" s="8" t="s">
        <v>131</v>
      </c>
    </row>
    <row r="1286" spans="1:12" s="81" customFormat="1" ht="20.100000000000001" customHeight="1" x14ac:dyDescent="0.25">
      <c r="A1286" s="327"/>
      <c r="B1286" s="322"/>
      <c r="C1286" s="35">
        <f>C1285*0.0214</f>
        <v>243.1674529421189</v>
      </c>
      <c r="D1286" s="35">
        <f t="shared" ref="D1286:J1286" si="720">D1285*0.0214</f>
        <v>261.13779227860965</v>
      </c>
      <c r="E1286" s="35">
        <f t="shared" si="720"/>
        <v>26.174031748682978</v>
      </c>
      <c r="F1286" s="35">
        <f t="shared" si="720"/>
        <v>16.640718583333626</v>
      </c>
      <c r="G1286" s="35">
        <f t="shared" si="720"/>
        <v>40.717724762960088</v>
      </c>
      <c r="H1286" s="35">
        <f t="shared" si="720"/>
        <v>18.528599709331218</v>
      </c>
      <c r="I1286" s="35">
        <f t="shared" si="720"/>
        <v>98.74883341672215</v>
      </c>
      <c r="J1286" s="35">
        <f t="shared" si="720"/>
        <v>110.2581476486635</v>
      </c>
      <c r="K1286" s="16" t="s">
        <v>131</v>
      </c>
      <c r="L1286" s="15" t="s">
        <v>131</v>
      </c>
    </row>
    <row r="1287" spans="1:12" s="81" customFormat="1" ht="20.100000000000001" hidden="1" customHeight="1" x14ac:dyDescent="0.25">
      <c r="A1287" s="327"/>
      <c r="B1287" s="322"/>
      <c r="C1287" s="16">
        <f>34587/367.6</f>
        <v>94.088683351468987</v>
      </c>
      <c r="D1287" s="16">
        <f>33790/467.6</f>
        <v>72.262617621899054</v>
      </c>
      <c r="E1287" s="16">
        <f>35514/367.6</f>
        <v>96.610446137105541</v>
      </c>
      <c r="F1287" s="16">
        <f>32653/2/367.6</f>
        <v>44.41376496191512</v>
      </c>
      <c r="G1287" s="16">
        <f>32488/367.6</f>
        <v>88.378672470076168</v>
      </c>
      <c r="H1287" s="16">
        <f>F1287</f>
        <v>44.41376496191512</v>
      </c>
      <c r="I1287" s="16">
        <f>32983/367.6</f>
        <v>89.725244831338401</v>
      </c>
      <c r="J1287" s="16">
        <f>32052/367.6</f>
        <v>87.19260065288357</v>
      </c>
      <c r="K1287" s="16" t="s">
        <v>131</v>
      </c>
      <c r="L1287" s="15" t="s">
        <v>131</v>
      </c>
    </row>
    <row r="1288" spans="1:12" s="81" customFormat="1" ht="20.100000000000001" hidden="1" customHeight="1" thickBot="1" x14ac:dyDescent="0.3">
      <c r="A1288" s="327"/>
      <c r="B1288" s="322"/>
      <c r="C1288" s="18">
        <f>(1/689.5)*85895.22*1.2*P4</f>
        <v>185.15955350592725</v>
      </c>
      <c r="D1288" s="18">
        <f>(1/367.6)*30063.48*1.2*P4</f>
        <v>121.55564922822288</v>
      </c>
      <c r="E1288" s="18">
        <f>(1/689.5)*57263.82*1.2*P4</f>
        <v>123.44043525639476</v>
      </c>
      <c r="F1288" s="18">
        <f>(1/689.5)*42948.12*1.2*P4</f>
        <v>92.580876131628557</v>
      </c>
      <c r="G1288" s="19">
        <f>(1/689.5)*42948.12*1.2*P4</f>
        <v>92.580876131628557</v>
      </c>
      <c r="H1288" s="19">
        <f>(1/689.5)*42948.12*1.2*P4</f>
        <v>92.580876131628557</v>
      </c>
      <c r="I1288" s="19">
        <f>(1/689.5)*56547.78*1.2*P4</f>
        <v>121.896907610824</v>
      </c>
      <c r="J1288" s="19">
        <f>(1/689.5)*70148.46*1.2*P4</f>
        <v>151.21513784734933</v>
      </c>
      <c r="K1288" s="19" t="s">
        <v>131</v>
      </c>
      <c r="L1288" s="34" t="s">
        <v>131</v>
      </c>
    </row>
    <row r="1289" spans="1:12" s="81" customFormat="1" ht="20.100000000000001" customHeight="1" thickBot="1" x14ac:dyDescent="0.3">
      <c r="A1289" s="327"/>
      <c r="B1289" s="323"/>
      <c r="C1289" s="18">
        <f>C1288+C1287</f>
        <v>279.24823685739625</v>
      </c>
      <c r="D1289" s="18">
        <f t="shared" ref="D1289:J1289" si="721">D1288+D1287</f>
        <v>193.81826685012192</v>
      </c>
      <c r="E1289" s="18">
        <f t="shared" si="721"/>
        <v>220.0508813935003</v>
      </c>
      <c r="F1289" s="18">
        <f t="shared" si="721"/>
        <v>136.99464109354369</v>
      </c>
      <c r="G1289" s="18">
        <f t="shared" si="721"/>
        <v>180.95954860170474</v>
      </c>
      <c r="H1289" s="18">
        <f t="shared" si="721"/>
        <v>136.99464109354369</v>
      </c>
      <c r="I1289" s="18">
        <f t="shared" si="721"/>
        <v>211.62215244216242</v>
      </c>
      <c r="J1289" s="18">
        <f t="shared" si="721"/>
        <v>238.40773850023288</v>
      </c>
      <c r="K1289" s="19" t="s">
        <v>131</v>
      </c>
      <c r="L1289" s="34" t="s">
        <v>131</v>
      </c>
    </row>
    <row r="1290" spans="1:12" s="81" customFormat="1" ht="20.100000000000001" customHeight="1" thickBot="1" x14ac:dyDescent="0.3">
      <c r="A1290" s="328"/>
      <c r="B1290" s="259" t="s">
        <v>212</v>
      </c>
      <c r="C1290" s="36">
        <f>SUM(C1285:C1288)</f>
        <v>11885.380780552736</v>
      </c>
      <c r="D1290" s="36">
        <f t="shared" ref="D1290:J1290" si="722">SUM(D1285:D1288)</f>
        <v>12657.65663289554</v>
      </c>
      <c r="E1290" s="36">
        <f t="shared" si="722"/>
        <v>1469.3105088750326</v>
      </c>
      <c r="F1290" s="36">
        <f t="shared" si="722"/>
        <v>931.2390317952711</v>
      </c>
      <c r="G1290" s="36">
        <f t="shared" si="722"/>
        <v>2124.3746921945758</v>
      </c>
      <c r="H1290" s="36">
        <f t="shared" si="722"/>
        <v>1021.3456571267637</v>
      </c>
      <c r="I1290" s="36">
        <f t="shared" si="722"/>
        <v>4924.8024539300131</v>
      </c>
      <c r="J1290" s="36">
        <f t="shared" si="722"/>
        <v>5500.9157762733594</v>
      </c>
      <c r="K1290" s="36" t="s">
        <v>131</v>
      </c>
      <c r="L1290" s="37" t="s">
        <v>131</v>
      </c>
    </row>
    <row r="1291" spans="1:12" s="53" customFormat="1" ht="20.100000000000001" hidden="1" customHeight="1" thickBot="1" x14ac:dyDescent="0.3">
      <c r="A1291" s="327" t="s">
        <v>1120</v>
      </c>
      <c r="B1291" s="321" t="s">
        <v>201</v>
      </c>
      <c r="C1291" s="9">
        <v>12728.128398924731</v>
      </c>
      <c r="D1291" s="9">
        <v>10126.111695000001</v>
      </c>
      <c r="E1291" s="9">
        <v>1368.0634032258065</v>
      </c>
      <c r="F1291" s="9">
        <v>738.7278086021505</v>
      </c>
      <c r="G1291" s="9" t="s">
        <v>131</v>
      </c>
      <c r="H1291" s="9">
        <v>736.44081827956984</v>
      </c>
      <c r="I1291" s="9">
        <v>6594.3123279569891</v>
      </c>
      <c r="J1291" s="9">
        <v>11656.360152688172</v>
      </c>
      <c r="K1291" s="9" t="s">
        <v>131</v>
      </c>
      <c r="L1291" s="20" t="s">
        <v>131</v>
      </c>
    </row>
    <row r="1292" spans="1:12" s="53" customFormat="1" ht="20.100000000000001" customHeight="1" x14ac:dyDescent="0.25">
      <c r="A1292" s="327"/>
      <c r="B1292" s="322"/>
      <c r="C1292" s="7">
        <v>25787</v>
      </c>
      <c r="D1292" s="7">
        <v>18096.23</v>
      </c>
      <c r="E1292" s="7">
        <f t="shared" ref="E1292:J1292" si="723">E1291/12.79*19.53*1.039</f>
        <v>2170.4684219964815</v>
      </c>
      <c r="F1292" s="7">
        <f t="shared" si="723"/>
        <v>1172.0110173555904</v>
      </c>
      <c r="G1292" s="7" t="s">
        <v>131</v>
      </c>
      <c r="H1292" s="7">
        <f t="shared" si="723"/>
        <v>1168.3826473071931</v>
      </c>
      <c r="I1292" s="7">
        <f t="shared" si="723"/>
        <v>10462.049228759579</v>
      </c>
      <c r="J1292" s="7">
        <f t="shared" si="723"/>
        <v>18493.120689562002</v>
      </c>
      <c r="K1292" s="7" t="s">
        <v>131</v>
      </c>
      <c r="L1292" s="8" t="s">
        <v>131</v>
      </c>
    </row>
    <row r="1293" spans="1:12" s="53" customFormat="1" ht="20.100000000000001" customHeight="1" x14ac:dyDescent="0.25">
      <c r="A1293" s="327"/>
      <c r="B1293" s="322"/>
      <c r="C1293" s="35">
        <f>C1292*0.0214</f>
        <v>551.84179999999992</v>
      </c>
      <c r="D1293" s="35">
        <f t="shared" ref="D1293:J1293" si="724">D1292*0.0214</f>
        <v>387.259322</v>
      </c>
      <c r="E1293" s="35">
        <f t="shared" si="724"/>
        <v>46.448024230724705</v>
      </c>
      <c r="F1293" s="35">
        <f t="shared" si="724"/>
        <v>25.081035771409635</v>
      </c>
      <c r="G1293" s="35" t="s">
        <v>131</v>
      </c>
      <c r="H1293" s="35">
        <f t="shared" si="724"/>
        <v>25.003388652373932</v>
      </c>
      <c r="I1293" s="35">
        <f t="shared" si="724"/>
        <v>223.88785349545498</v>
      </c>
      <c r="J1293" s="35">
        <f t="shared" si="724"/>
        <v>395.7527827566268</v>
      </c>
      <c r="K1293" s="16" t="s">
        <v>131</v>
      </c>
      <c r="L1293" s="15" t="s">
        <v>131</v>
      </c>
    </row>
    <row r="1294" spans="1:12" s="53" customFormat="1" ht="20.100000000000001" hidden="1" customHeight="1" x14ac:dyDescent="0.25">
      <c r="A1294" s="327"/>
      <c r="B1294" s="322"/>
      <c r="C1294" s="16">
        <f>33717/244</f>
        <v>138.1844262295082</v>
      </c>
      <c r="D1294" s="16">
        <f>33144/244</f>
        <v>135.8360655737705</v>
      </c>
      <c r="E1294" s="16">
        <f>32173/244</f>
        <v>131.85655737704917</v>
      </c>
      <c r="F1294" s="16">
        <f>32173/244</f>
        <v>131.85655737704917</v>
      </c>
      <c r="G1294" s="16" t="s">
        <v>131</v>
      </c>
      <c r="H1294" s="16">
        <f>F1294</f>
        <v>131.85655737704917</v>
      </c>
      <c r="I1294" s="16">
        <f>32485/244</f>
        <v>133.13524590163934</v>
      </c>
      <c r="J1294" s="16">
        <f>31896/244</f>
        <v>130.72131147540983</v>
      </c>
      <c r="K1294" s="35" t="s">
        <v>131</v>
      </c>
      <c r="L1294" s="15" t="s">
        <v>131</v>
      </c>
    </row>
    <row r="1295" spans="1:12" s="53" customFormat="1" ht="20.100000000000001" hidden="1" customHeight="1" thickBot="1" x14ac:dyDescent="0.3">
      <c r="A1295" s="327"/>
      <c r="B1295" s="322"/>
      <c r="C1295" s="18">
        <f>(1/1628.1)*138458.88*1.2*P4</f>
        <v>126.40118253364754</v>
      </c>
      <c r="D1295" s="18">
        <f>(1/244)*48460.2*1.2*P4</f>
        <v>295.19348947454694</v>
      </c>
      <c r="E1295" s="18">
        <f>(1/1628.1)*92305.92*1.2*P4</f>
        <v>84.26745502243169</v>
      </c>
      <c r="F1295" s="24">
        <f>(1/1628.1)*69229.44*1.2*P4</f>
        <v>63.200591266823771</v>
      </c>
      <c r="G1295" s="24" t="s">
        <v>131</v>
      </c>
      <c r="H1295" s="24">
        <f>(1/1628.1)*69229.44*1.2*P4</f>
        <v>63.200591266823771</v>
      </c>
      <c r="I1295" s="19">
        <f>(1/1628.1)*91152.3*1.2*P4</f>
        <v>83.2142980693026</v>
      </c>
      <c r="J1295" s="19">
        <f>(1/1628.1)*113075.16*1.2*P4</f>
        <v>103.22800487178142</v>
      </c>
      <c r="K1295" s="35" t="s">
        <v>131</v>
      </c>
      <c r="L1295" s="34" t="s">
        <v>131</v>
      </c>
    </row>
    <row r="1296" spans="1:12" s="53" customFormat="1" ht="20.100000000000001" customHeight="1" thickBot="1" x14ac:dyDescent="0.3">
      <c r="A1296" s="327"/>
      <c r="B1296" s="323"/>
      <c r="C1296" s="18">
        <f>C1295+C1294</f>
        <v>264.58560876315573</v>
      </c>
      <c r="D1296" s="18">
        <f t="shared" ref="D1296:J1296" si="725">D1295+D1294</f>
        <v>431.02955504831743</v>
      </c>
      <c r="E1296" s="18">
        <f t="shared" si="725"/>
        <v>216.12401239948088</v>
      </c>
      <c r="F1296" s="18">
        <f t="shared" si="725"/>
        <v>195.05714864387295</v>
      </c>
      <c r="G1296" s="18" t="s">
        <v>131</v>
      </c>
      <c r="H1296" s="18">
        <f t="shared" si="725"/>
        <v>195.05714864387295</v>
      </c>
      <c r="I1296" s="18">
        <f t="shared" si="725"/>
        <v>216.34954397094194</v>
      </c>
      <c r="J1296" s="18">
        <f t="shared" si="725"/>
        <v>233.94931634719126</v>
      </c>
      <c r="K1296" s="10" t="s">
        <v>131</v>
      </c>
      <c r="L1296" s="34" t="s">
        <v>131</v>
      </c>
    </row>
    <row r="1297" spans="1:12" s="53" customFormat="1" ht="20.100000000000001" customHeight="1" thickBot="1" x14ac:dyDescent="0.3">
      <c r="A1297" s="328"/>
      <c r="B1297" s="259" t="s">
        <v>212</v>
      </c>
      <c r="C1297" s="36">
        <f>SUM(C1292:C1295)</f>
        <v>26603.427408763157</v>
      </c>
      <c r="D1297" s="36">
        <f t="shared" ref="D1297:J1297" si="726">SUM(D1292:D1295)</f>
        <v>18914.518877048318</v>
      </c>
      <c r="E1297" s="36">
        <f t="shared" si="726"/>
        <v>2433.0404586266868</v>
      </c>
      <c r="F1297" s="36">
        <f t="shared" si="726"/>
        <v>1392.1492017708729</v>
      </c>
      <c r="G1297" s="36" t="s">
        <v>131</v>
      </c>
      <c r="H1297" s="36">
        <f t="shared" si="726"/>
        <v>1388.4431846034399</v>
      </c>
      <c r="I1297" s="36">
        <f t="shared" si="726"/>
        <v>10902.286626225976</v>
      </c>
      <c r="J1297" s="36">
        <f t="shared" si="726"/>
        <v>19122.822788665817</v>
      </c>
      <c r="K1297" s="36" t="s">
        <v>131</v>
      </c>
      <c r="L1297" s="37" t="s">
        <v>131</v>
      </c>
    </row>
    <row r="1298" spans="1:12" s="81" customFormat="1" ht="20.100000000000001" hidden="1" customHeight="1" thickBot="1" x14ac:dyDescent="0.3">
      <c r="A1298" s="327" t="s">
        <v>1121</v>
      </c>
      <c r="B1298" s="321" t="s">
        <v>26</v>
      </c>
      <c r="C1298" s="9">
        <v>5586.3745813586011</v>
      </c>
      <c r="D1298" s="9">
        <v>10133.738927307693</v>
      </c>
      <c r="E1298" s="9">
        <v>699.3532288702088</v>
      </c>
      <c r="F1298" s="9">
        <v>377.03377182817121</v>
      </c>
      <c r="G1298" s="9" t="s">
        <v>131</v>
      </c>
      <c r="H1298" s="9">
        <v>545.26715760803052</v>
      </c>
      <c r="I1298" s="9">
        <v>2139.4169086213092</v>
      </c>
      <c r="J1298" s="9">
        <v>3679.6760726568873</v>
      </c>
      <c r="K1298" s="9" t="s">
        <v>131</v>
      </c>
      <c r="L1298" s="20" t="s">
        <v>131</v>
      </c>
    </row>
    <row r="1299" spans="1:12" s="81" customFormat="1" ht="20.100000000000001" customHeight="1" x14ac:dyDescent="0.25">
      <c r="A1299" s="327"/>
      <c r="B1299" s="322"/>
      <c r="C1299" s="7">
        <v>25787</v>
      </c>
      <c r="D1299" s="7">
        <v>18096.23</v>
      </c>
      <c r="E1299" s="7">
        <v>1976.76</v>
      </c>
      <c r="F1299" s="7">
        <v>859</v>
      </c>
      <c r="G1299" s="7" t="s">
        <v>131</v>
      </c>
      <c r="H1299" s="7">
        <f t="shared" ref="H1299:J1299" si="727">H1298/12.79*19.53*1.039</f>
        <v>865.08062736670411</v>
      </c>
      <c r="I1299" s="7">
        <f t="shared" si="727"/>
        <v>3394.2409618579954</v>
      </c>
      <c r="J1299" s="7">
        <f t="shared" si="727"/>
        <v>5837.9024685887089</v>
      </c>
      <c r="K1299" s="7" t="s">
        <v>131</v>
      </c>
      <c r="L1299" s="8" t="s">
        <v>131</v>
      </c>
    </row>
    <row r="1300" spans="1:12" s="81" customFormat="1" ht="20.100000000000001" customHeight="1" x14ac:dyDescent="0.25">
      <c r="A1300" s="327"/>
      <c r="B1300" s="322"/>
      <c r="C1300" s="35">
        <f>C1299*0.0214</f>
        <v>551.84179999999992</v>
      </c>
      <c r="D1300" s="35">
        <f t="shared" ref="D1300:J1300" si="728">D1299*0.0214</f>
        <v>387.259322</v>
      </c>
      <c r="E1300" s="35">
        <f t="shared" si="728"/>
        <v>42.302664</v>
      </c>
      <c r="F1300" s="35">
        <f t="shared" si="728"/>
        <v>18.3826</v>
      </c>
      <c r="G1300" s="35" t="s">
        <v>131</v>
      </c>
      <c r="H1300" s="35">
        <f t="shared" si="728"/>
        <v>18.512725425647467</v>
      </c>
      <c r="I1300" s="35">
        <f t="shared" si="728"/>
        <v>72.636756583761098</v>
      </c>
      <c r="J1300" s="35">
        <f t="shared" si="728"/>
        <v>124.93111282779836</v>
      </c>
      <c r="K1300" s="16" t="s">
        <v>131</v>
      </c>
      <c r="L1300" s="15" t="s">
        <v>131</v>
      </c>
    </row>
    <row r="1301" spans="1:12" s="81" customFormat="1" ht="20.100000000000001" hidden="1" customHeight="1" x14ac:dyDescent="0.25">
      <c r="A1301" s="327"/>
      <c r="B1301" s="322"/>
      <c r="C1301" s="16">
        <f>38589/844.3</f>
        <v>45.705318014923606</v>
      </c>
      <c r="D1301" s="16">
        <f>36759/844.3</f>
        <v>43.537841999289355</v>
      </c>
      <c r="E1301" s="16">
        <f>33828/844.3</f>
        <v>40.066327134904654</v>
      </c>
      <c r="F1301" s="16">
        <f>35283/2/844.3</f>
        <v>20.89482411465119</v>
      </c>
      <c r="G1301" s="16" t="s">
        <v>131</v>
      </c>
      <c r="H1301" s="16">
        <f>F1301</f>
        <v>20.89482411465119</v>
      </c>
      <c r="I1301" s="16">
        <f>33828/844.3</f>
        <v>40.066327134904654</v>
      </c>
      <c r="J1301" s="16">
        <f>32768/844.3</f>
        <v>38.810849224209406</v>
      </c>
      <c r="K1301" s="16" t="s">
        <v>131</v>
      </c>
      <c r="L1301" s="15" t="s">
        <v>131</v>
      </c>
    </row>
    <row r="1302" spans="1:12" s="81" customFormat="1" ht="20.100000000000001" hidden="1" customHeight="1" thickBot="1" x14ac:dyDescent="0.3">
      <c r="A1302" s="327"/>
      <c r="B1302" s="322"/>
      <c r="C1302" s="18">
        <f>(1/844.3)*88402.38*1.2*P4</f>
        <v>155.62471429135317</v>
      </c>
      <c r="D1302" s="18">
        <f>(1/844.3)*75141.36*1.2*P4</f>
        <v>132.27983999371637</v>
      </c>
      <c r="E1302" s="18">
        <f>(1/844.3)*58934.58*1.2*P4</f>
        <v>103.74921098708988</v>
      </c>
      <c r="F1302" s="18">
        <f>(1/844.3)*44200.68*1.2*P4</f>
        <v>77.811459334958258</v>
      </c>
      <c r="G1302" s="19" t="s">
        <v>131</v>
      </c>
      <c r="H1302" s="19">
        <f>(1/844.3)*44200.68*1.2*P4</f>
        <v>77.811459334958258</v>
      </c>
      <c r="I1302" s="19">
        <f>(1/844.3)*58198.14*1.2*P4</f>
        <v>102.45277230984247</v>
      </c>
      <c r="J1302" s="19">
        <f>(1/844.3)*72194.58*1.2*P4</f>
        <v>127.09228966329005</v>
      </c>
      <c r="K1302" s="18" t="s">
        <v>131</v>
      </c>
      <c r="L1302" s="34" t="s">
        <v>131</v>
      </c>
    </row>
    <row r="1303" spans="1:12" s="81" customFormat="1" ht="20.100000000000001" customHeight="1" thickBot="1" x14ac:dyDescent="0.3">
      <c r="A1303" s="327"/>
      <c r="B1303" s="323"/>
      <c r="C1303" s="64">
        <f>C1302+C1301</f>
        <v>201.33003230627679</v>
      </c>
      <c r="D1303" s="64">
        <f t="shared" ref="D1303:J1303" si="729">D1302+D1301</f>
        <v>175.81768199300572</v>
      </c>
      <c r="E1303" s="64">
        <f t="shared" si="729"/>
        <v>143.81553812199454</v>
      </c>
      <c r="F1303" s="64">
        <f t="shared" si="729"/>
        <v>98.706283449609444</v>
      </c>
      <c r="G1303" s="64" t="s">
        <v>131</v>
      </c>
      <c r="H1303" s="64">
        <f t="shared" si="729"/>
        <v>98.706283449609444</v>
      </c>
      <c r="I1303" s="64">
        <f t="shared" si="729"/>
        <v>142.51909944474713</v>
      </c>
      <c r="J1303" s="64">
        <f t="shared" si="729"/>
        <v>165.90313888749944</v>
      </c>
      <c r="K1303" s="18" t="s">
        <v>131</v>
      </c>
      <c r="L1303" s="34" t="s">
        <v>131</v>
      </c>
    </row>
    <row r="1304" spans="1:12" s="81" customFormat="1" ht="20.100000000000001" customHeight="1" thickBot="1" x14ac:dyDescent="0.3">
      <c r="A1304" s="328"/>
      <c r="B1304" s="265" t="s">
        <v>212</v>
      </c>
      <c r="C1304" s="133">
        <f>SUM(C1299:C1302)</f>
        <v>26540.171832306274</v>
      </c>
      <c r="D1304" s="133">
        <f t="shared" ref="D1304:J1304" si="730">SUM(D1299:D1302)</f>
        <v>18659.307003993006</v>
      </c>
      <c r="E1304" s="133">
        <f t="shared" si="730"/>
        <v>2162.8782021219945</v>
      </c>
      <c r="F1304" s="133">
        <f t="shared" si="730"/>
        <v>976.08888344960951</v>
      </c>
      <c r="G1304" s="133" t="s">
        <v>131</v>
      </c>
      <c r="H1304" s="133">
        <f t="shared" si="730"/>
        <v>982.29963624196103</v>
      </c>
      <c r="I1304" s="133">
        <f t="shared" si="730"/>
        <v>3609.3968178865039</v>
      </c>
      <c r="J1304" s="133">
        <f t="shared" si="730"/>
        <v>6128.7367203040067</v>
      </c>
      <c r="K1304" s="18" t="s">
        <v>131</v>
      </c>
      <c r="L1304" s="34" t="s">
        <v>131</v>
      </c>
    </row>
    <row r="1305" spans="1:12" s="53" customFormat="1" ht="20.100000000000001" customHeight="1" thickBot="1" x14ac:dyDescent="0.3">
      <c r="A1305" s="311" t="s">
        <v>1122</v>
      </c>
      <c r="B1305" s="312"/>
      <c r="C1305" s="312"/>
      <c r="D1305" s="312"/>
      <c r="E1305" s="312"/>
      <c r="F1305" s="312"/>
      <c r="G1305" s="312"/>
      <c r="H1305" s="312"/>
      <c r="I1305" s="312"/>
      <c r="J1305" s="312"/>
      <c r="K1305" s="312"/>
      <c r="L1305" s="313"/>
    </row>
    <row r="1306" spans="1:12" s="81" customFormat="1" ht="20.100000000000001" hidden="1" customHeight="1" thickBot="1" x14ac:dyDescent="0.3">
      <c r="A1306" s="327" t="s">
        <v>1123</v>
      </c>
      <c r="B1306" s="321" t="s">
        <v>116</v>
      </c>
      <c r="C1306" s="23">
        <v>4872.6730001963324</v>
      </c>
      <c r="D1306" s="23">
        <v>10980.03978139535</v>
      </c>
      <c r="E1306" s="23">
        <v>1383</v>
      </c>
      <c r="F1306" s="23">
        <v>398.32607150982949</v>
      </c>
      <c r="G1306" s="23">
        <v>903.93043052889379</v>
      </c>
      <c r="H1306" s="23">
        <v>309.92973494209514</v>
      </c>
      <c r="I1306" s="23">
        <v>2031.9370691732308</v>
      </c>
      <c r="J1306" s="23">
        <v>3654.101471306466</v>
      </c>
      <c r="K1306" s="23">
        <v>780.1825270125621</v>
      </c>
      <c r="L1306" s="21" t="s">
        <v>131</v>
      </c>
    </row>
    <row r="1307" spans="1:12" s="81" customFormat="1" ht="20.100000000000001" customHeight="1" x14ac:dyDescent="0.25">
      <c r="A1307" s="327"/>
      <c r="B1307" s="322"/>
      <c r="C1307" s="16">
        <f>C1306/13.19*19.53*1.039</f>
        <v>7496.1844228880909</v>
      </c>
      <c r="D1307" s="7">
        <f>18096.23</f>
        <v>18096.23</v>
      </c>
      <c r="E1307" s="16">
        <f t="shared" ref="E1307:K1307" si="731">E1306/13.19*19.53*1.039</f>
        <v>2127.6254442759669</v>
      </c>
      <c r="F1307" s="16">
        <f t="shared" si="731"/>
        <v>612.79008305336322</v>
      </c>
      <c r="G1307" s="16">
        <f t="shared" si="731"/>
        <v>1390.6184988059317</v>
      </c>
      <c r="H1307" s="16">
        <f t="shared" si="731"/>
        <v>476.79999276970915</v>
      </c>
      <c r="I1307" s="16">
        <f t="shared" si="731"/>
        <v>3125.9587921478678</v>
      </c>
      <c r="J1307" s="16">
        <f t="shared" si="731"/>
        <v>5621.5179076774284</v>
      </c>
      <c r="K1307" s="16">
        <f t="shared" si="731"/>
        <v>1200.2430915773311</v>
      </c>
      <c r="L1307" s="15" t="s">
        <v>131</v>
      </c>
    </row>
    <row r="1308" spans="1:12" s="81" customFormat="1" ht="20.100000000000001" customHeight="1" x14ac:dyDescent="0.25">
      <c r="A1308" s="327"/>
      <c r="B1308" s="322"/>
      <c r="C1308" s="16">
        <f>C1307*0.0214</f>
        <v>160.41834664980513</v>
      </c>
      <c r="D1308" s="16">
        <f t="shared" ref="D1308:K1308" si="732">D1307*0.0214</f>
        <v>387.259322</v>
      </c>
      <c r="E1308" s="16">
        <f t="shared" si="732"/>
        <v>45.531184507505685</v>
      </c>
      <c r="F1308" s="16">
        <f t="shared" si="732"/>
        <v>13.113707777341972</v>
      </c>
      <c r="G1308" s="16">
        <f t="shared" si="732"/>
        <v>29.759235874446937</v>
      </c>
      <c r="H1308" s="16">
        <f t="shared" si="732"/>
        <v>10.203519845271776</v>
      </c>
      <c r="I1308" s="16">
        <f t="shared" si="732"/>
        <v>66.895518151964367</v>
      </c>
      <c r="J1308" s="16">
        <f t="shared" si="732"/>
        <v>120.30048322429697</v>
      </c>
      <c r="K1308" s="16">
        <f t="shared" si="732"/>
        <v>25.685202159754883</v>
      </c>
      <c r="L1308" s="15" t="s">
        <v>131</v>
      </c>
    </row>
    <row r="1309" spans="1:12" s="81" customFormat="1" ht="20.100000000000001" hidden="1" customHeight="1" x14ac:dyDescent="0.25">
      <c r="A1309" s="327"/>
      <c r="B1309" s="322"/>
      <c r="C1309" s="35">
        <f>41046/1510.7</f>
        <v>27.170186006487057</v>
      </c>
      <c r="D1309" s="35">
        <f>38065/504</f>
        <v>75.525793650793645</v>
      </c>
      <c r="E1309" s="35">
        <f>33666/1510.7</f>
        <v>22.285033428212085</v>
      </c>
      <c r="F1309" s="35">
        <f>38977/2/1510.7</f>
        <v>12.900311114053087</v>
      </c>
      <c r="G1309" s="35">
        <f>36270/1510.7</f>
        <v>24.008737671278215</v>
      </c>
      <c r="H1309" s="35">
        <f>F1309</f>
        <v>12.900311114053087</v>
      </c>
      <c r="I1309" s="35">
        <f>39654/1510.7</f>
        <v>26.248758853511617</v>
      </c>
      <c r="J1309" s="35">
        <f>31565/1510.7</f>
        <v>20.894287416429471</v>
      </c>
      <c r="K1309" s="35">
        <f>J1309</f>
        <v>20.894287416429471</v>
      </c>
      <c r="L1309" s="15" t="s">
        <v>131</v>
      </c>
    </row>
    <row r="1310" spans="1:12" s="81" customFormat="1" ht="20.100000000000001" hidden="1" customHeight="1" thickBot="1" x14ac:dyDescent="0.3">
      <c r="A1310" s="327"/>
      <c r="B1310" s="322"/>
      <c r="C1310" s="18">
        <f>(1/1510.7)*136557.6*1.2*P4</f>
        <v>134.35351876446259</v>
      </c>
      <c r="D1310" s="18">
        <f>(1/504)*47795.16*1.2*P4</f>
        <v>140.94990333157892</v>
      </c>
      <c r="E1310" s="18">
        <f>(1/1510.7)*91039.08*1.2*P4</f>
        <v>89.569681534234718</v>
      </c>
      <c r="F1310" s="18">
        <f>(1/1510.7)*68278.8*1.2*P4</f>
        <v>67.176759382231296</v>
      </c>
      <c r="G1310" s="19">
        <f>(1/1510.7)*68278.8*1.2*P4</f>
        <v>67.176759382231296</v>
      </c>
      <c r="H1310" s="19">
        <f>(1/1510.7)*68278.8*1.2*P4</f>
        <v>67.176759382231296</v>
      </c>
      <c r="I1310" s="19">
        <f>(1/1510.7)*89900.76*1.2*P4</f>
        <v>88.449734365567693</v>
      </c>
      <c r="J1310" s="19">
        <f>(1/1510.7)*111522.72*1.2*P4</f>
        <v>109.7227093489041</v>
      </c>
      <c r="K1310" s="18">
        <f>(1/1510.7)*47795.16*1.2*P4</f>
        <v>47.02373156756191</v>
      </c>
      <c r="L1310" s="34" t="s">
        <v>131</v>
      </c>
    </row>
    <row r="1311" spans="1:12" s="81" customFormat="1" ht="20.100000000000001" customHeight="1" thickBot="1" x14ac:dyDescent="0.3">
      <c r="A1311" s="327"/>
      <c r="B1311" s="323"/>
      <c r="C1311" s="18">
        <f>C1310+C1309</f>
        <v>161.52370477094965</v>
      </c>
      <c r="D1311" s="18">
        <f t="shared" ref="D1311:K1311" si="733">D1310+D1309</f>
        <v>216.47569698237257</v>
      </c>
      <c r="E1311" s="18">
        <f t="shared" si="733"/>
        <v>111.85471496244681</v>
      </c>
      <c r="F1311" s="18">
        <f t="shared" si="733"/>
        <v>80.077070496284378</v>
      </c>
      <c r="G1311" s="18">
        <f t="shared" si="733"/>
        <v>91.185497053509508</v>
      </c>
      <c r="H1311" s="18">
        <f t="shared" si="733"/>
        <v>80.077070496284378</v>
      </c>
      <c r="I1311" s="18">
        <f t="shared" si="733"/>
        <v>114.69849321907931</v>
      </c>
      <c r="J1311" s="18">
        <f t="shared" si="733"/>
        <v>130.61699676533357</v>
      </c>
      <c r="K1311" s="18">
        <f t="shared" si="733"/>
        <v>67.918018983991374</v>
      </c>
      <c r="L1311" s="34" t="s">
        <v>131</v>
      </c>
    </row>
    <row r="1312" spans="1:12" s="81" customFormat="1" ht="20.100000000000001" customHeight="1" thickBot="1" x14ac:dyDescent="0.3">
      <c r="A1312" s="328"/>
      <c r="B1312" s="265" t="s">
        <v>212</v>
      </c>
      <c r="C1312" s="36">
        <f>SUM(C1307:C1310)</f>
        <v>7818.1264743088459</v>
      </c>
      <c r="D1312" s="36">
        <f t="shared" ref="D1312:K1312" si="734">SUM(D1307:D1310)</f>
        <v>18699.965018982377</v>
      </c>
      <c r="E1312" s="36">
        <f t="shared" si="734"/>
        <v>2285.0113437459195</v>
      </c>
      <c r="F1312" s="36">
        <f t="shared" si="734"/>
        <v>705.98086132698973</v>
      </c>
      <c r="G1312" s="36">
        <f t="shared" si="734"/>
        <v>1511.563231733888</v>
      </c>
      <c r="H1312" s="36">
        <f t="shared" si="734"/>
        <v>567.08058311126524</v>
      </c>
      <c r="I1312" s="36">
        <f t="shared" si="734"/>
        <v>3307.5528035189118</v>
      </c>
      <c r="J1312" s="36">
        <f t="shared" si="734"/>
        <v>5872.4353876670584</v>
      </c>
      <c r="K1312" s="36">
        <f t="shared" si="734"/>
        <v>1293.8463127210775</v>
      </c>
      <c r="L1312" s="37" t="s">
        <v>131</v>
      </c>
    </row>
    <row r="1313" spans="1:12" s="53" customFormat="1" ht="20.100000000000001" hidden="1" customHeight="1" thickBot="1" x14ac:dyDescent="0.3">
      <c r="A1313" s="327" t="s">
        <v>1124</v>
      </c>
      <c r="B1313" s="321" t="s">
        <v>202</v>
      </c>
      <c r="C1313" s="78">
        <v>4008.8683313406964</v>
      </c>
      <c r="D1313" s="78">
        <v>6599.1299295833342</v>
      </c>
      <c r="E1313" s="78">
        <v>547.29975280642509</v>
      </c>
      <c r="F1313" s="78">
        <v>337.41590061148122</v>
      </c>
      <c r="G1313" s="78">
        <v>819.79051286848608</v>
      </c>
      <c r="H1313" s="78">
        <v>473.28647462809164</v>
      </c>
      <c r="I1313" s="78">
        <v>1238.7868194305011</v>
      </c>
      <c r="J1313" s="78">
        <v>2645.1510878890208</v>
      </c>
      <c r="K1313" s="78">
        <v>438.86876640503789</v>
      </c>
      <c r="L1313" s="21" t="s">
        <v>131</v>
      </c>
    </row>
    <row r="1314" spans="1:12" s="53" customFormat="1" ht="20.100000000000001" customHeight="1" x14ac:dyDescent="0.25">
      <c r="A1314" s="327"/>
      <c r="B1314" s="322"/>
      <c r="C1314" s="16">
        <f>C1313/13.19*19.53*1.039</f>
        <v>6167.2959251718021</v>
      </c>
      <c r="D1314" s="7">
        <f>18096.23</f>
        <v>18096.23</v>
      </c>
      <c r="E1314" s="16">
        <v>1383</v>
      </c>
      <c r="F1314" s="16">
        <f t="shared" ref="F1314:K1314" si="735">F1313/13.19*19.53*1.039</f>
        <v>519.08507262782223</v>
      </c>
      <c r="G1314" s="16">
        <f t="shared" si="735"/>
        <v>1261.1765395191869</v>
      </c>
      <c r="H1314" s="16">
        <f t="shared" si="735"/>
        <v>728.11015607404158</v>
      </c>
      <c r="I1314" s="16">
        <f t="shared" si="735"/>
        <v>1905.7659848546866</v>
      </c>
      <c r="J1314" s="16">
        <f t="shared" si="735"/>
        <v>4069.3353279442763</v>
      </c>
      <c r="K1314" s="16">
        <f t="shared" si="735"/>
        <v>675.16149971176003</v>
      </c>
      <c r="L1314" s="15" t="s">
        <v>131</v>
      </c>
    </row>
    <row r="1315" spans="1:12" s="53" customFormat="1" ht="20.100000000000001" customHeight="1" x14ac:dyDescent="0.25">
      <c r="A1315" s="327"/>
      <c r="B1315" s="322"/>
      <c r="C1315" s="35">
        <f>C1314*0.0214</f>
        <v>131.98013279867655</v>
      </c>
      <c r="D1315" s="35">
        <f t="shared" ref="D1315:K1315" si="736">D1314*0.0214</f>
        <v>387.259322</v>
      </c>
      <c r="E1315" s="35">
        <f t="shared" si="736"/>
        <v>29.5962</v>
      </c>
      <c r="F1315" s="35">
        <f t="shared" si="736"/>
        <v>11.108420554235396</v>
      </c>
      <c r="G1315" s="35">
        <f t="shared" si="736"/>
        <v>26.989177945710598</v>
      </c>
      <c r="H1315" s="35">
        <f t="shared" si="736"/>
        <v>15.581557339984489</v>
      </c>
      <c r="I1315" s="35">
        <f t="shared" si="736"/>
        <v>40.783392075890291</v>
      </c>
      <c r="J1315" s="35">
        <f t="shared" si="736"/>
        <v>87.083776018007512</v>
      </c>
      <c r="K1315" s="35">
        <f t="shared" si="736"/>
        <v>14.448456093831664</v>
      </c>
      <c r="L1315" s="15" t="s">
        <v>131</v>
      </c>
    </row>
    <row r="1316" spans="1:12" s="53" customFormat="1" ht="20.100000000000001" hidden="1" customHeight="1" x14ac:dyDescent="0.25">
      <c r="A1316" s="327"/>
      <c r="B1316" s="322"/>
      <c r="C1316" s="16">
        <f>45117/2043.4</f>
        <v>22.079377508074778</v>
      </c>
      <c r="D1316" s="16">
        <f>41085/540</f>
        <v>76.083333333333329</v>
      </c>
      <c r="E1316" s="16">
        <f>35135/2043.4</f>
        <v>17.194381912498777</v>
      </c>
      <c r="F1316" s="16">
        <f>42319/2/2043.4</f>
        <v>10.355045512381325</v>
      </c>
      <c r="G1316" s="16">
        <f>38657/2043.4</f>
        <v>18.917979837525692</v>
      </c>
      <c r="H1316" s="16">
        <f>F1316</f>
        <v>10.355045512381325</v>
      </c>
      <c r="I1316" s="16">
        <f>52392/2043.4</f>
        <v>25.639620240775177</v>
      </c>
      <c r="J1316" s="16">
        <f>32293/2043.4</f>
        <v>15.803562689634921</v>
      </c>
      <c r="K1316" s="16">
        <f>J1316</f>
        <v>15.803562689634921</v>
      </c>
      <c r="L1316" s="15" t="s">
        <v>131</v>
      </c>
    </row>
    <row r="1317" spans="1:12" s="53" customFormat="1" ht="20.100000000000001" hidden="1" customHeight="1" thickBot="1" x14ac:dyDescent="0.3">
      <c r="A1317" s="327"/>
      <c r="B1317" s="322"/>
      <c r="C1317" s="18">
        <f>(1/2191.4)*201552*1.2*P4</f>
        <v>136.70262487907272</v>
      </c>
      <c r="D1317" s="18">
        <f>(1/1040)*171319.2*1.2*P4</f>
        <v>244.8409734</v>
      </c>
      <c r="E1317" s="18">
        <f>(1/2191.4)*134367.66*1.2*P4</f>
        <v>91.134852647747394</v>
      </c>
      <c r="F1317" s="19">
        <f>(1/2191.4)*100776*1.2*P4</f>
        <v>68.351312439536358</v>
      </c>
      <c r="G1317" s="19">
        <f>(1/2191.4)*100776*1.2*P4</f>
        <v>68.351312439536358</v>
      </c>
      <c r="H1317" s="19">
        <f>(1/2191.4)*100776*1.2*P4</f>
        <v>68.351312439536358</v>
      </c>
      <c r="I1317" s="19">
        <f>(1/2191.4)*132688.74*1.2*P4</f>
        <v>89.996125317023953</v>
      </c>
      <c r="J1317" s="19">
        <f>(1/2191.4)*164601.48*1.2*P4</f>
        <v>111.64093819451155</v>
      </c>
      <c r="K1317" s="18">
        <f>(1/2191.4)*70543.2*1.2*P4</f>
        <v>47.845918707675445</v>
      </c>
      <c r="L1317" s="34" t="s">
        <v>131</v>
      </c>
    </row>
    <row r="1318" spans="1:12" s="53" customFormat="1" ht="20.100000000000001" customHeight="1" thickBot="1" x14ac:dyDescent="0.3">
      <c r="A1318" s="327"/>
      <c r="B1318" s="323"/>
      <c r="C1318" s="18">
        <f>C1317+C1316</f>
        <v>158.78200238714749</v>
      </c>
      <c r="D1318" s="18">
        <f t="shared" ref="D1318:K1318" si="737">D1317+D1316</f>
        <v>320.92430673333331</v>
      </c>
      <c r="E1318" s="18">
        <f t="shared" si="737"/>
        <v>108.32923456024616</v>
      </c>
      <c r="F1318" s="18">
        <f t="shared" si="737"/>
        <v>78.706357951917681</v>
      </c>
      <c r="G1318" s="18">
        <f t="shared" si="737"/>
        <v>87.26929227706205</v>
      </c>
      <c r="H1318" s="18">
        <f t="shared" si="737"/>
        <v>78.706357951917681</v>
      </c>
      <c r="I1318" s="18">
        <f t="shared" si="737"/>
        <v>115.63574555779913</v>
      </c>
      <c r="J1318" s="18">
        <f t="shared" si="737"/>
        <v>127.44450088414646</v>
      </c>
      <c r="K1318" s="18">
        <f t="shared" si="737"/>
        <v>63.649481397310367</v>
      </c>
      <c r="L1318" s="34" t="s">
        <v>131</v>
      </c>
    </row>
    <row r="1319" spans="1:12" s="53" customFormat="1" ht="20.100000000000001" customHeight="1" thickBot="1" x14ac:dyDescent="0.3">
      <c r="A1319" s="328"/>
      <c r="B1319" s="265" t="s">
        <v>212</v>
      </c>
      <c r="C1319" s="36">
        <f>SUM(C1314:C1317)</f>
        <v>6458.0580603576263</v>
      </c>
      <c r="D1319" s="36">
        <f t="shared" ref="D1319:K1319" si="738">SUM(D1314:D1317)</f>
        <v>18804.413628733335</v>
      </c>
      <c r="E1319" s="36">
        <f t="shared" si="738"/>
        <v>1520.9254345602462</v>
      </c>
      <c r="F1319" s="36">
        <f t="shared" si="738"/>
        <v>608.8998511339754</v>
      </c>
      <c r="G1319" s="36">
        <f t="shared" si="738"/>
        <v>1375.4350097419597</v>
      </c>
      <c r="H1319" s="36">
        <f t="shared" si="738"/>
        <v>822.39807136594379</v>
      </c>
      <c r="I1319" s="36">
        <f t="shared" si="738"/>
        <v>2062.1851224883762</v>
      </c>
      <c r="J1319" s="36">
        <f t="shared" si="738"/>
        <v>4283.8636048464305</v>
      </c>
      <c r="K1319" s="36">
        <f t="shared" si="738"/>
        <v>753.25943720290195</v>
      </c>
      <c r="L1319" s="37" t="s">
        <v>131</v>
      </c>
    </row>
    <row r="1320" spans="1:12" s="81" customFormat="1" ht="20.100000000000001" hidden="1" customHeight="1" thickBot="1" x14ac:dyDescent="0.3">
      <c r="A1320" s="327" t="s">
        <v>1125</v>
      </c>
      <c r="B1320" s="321" t="s">
        <v>117</v>
      </c>
      <c r="C1320" s="9">
        <v>4328.1109060708286</v>
      </c>
      <c r="D1320" s="9">
        <v>8253.1287706806288</v>
      </c>
      <c r="E1320" s="9">
        <v>1383</v>
      </c>
      <c r="F1320" s="9">
        <v>389.49652162058339</v>
      </c>
      <c r="G1320" s="9">
        <v>901.31411716422849</v>
      </c>
      <c r="H1320" s="9">
        <v>471.21731577300318</v>
      </c>
      <c r="I1320" s="9">
        <v>1428.4424415171773</v>
      </c>
      <c r="J1320" s="9">
        <v>2398.9341943202166</v>
      </c>
      <c r="K1320" s="9">
        <v>421.07190063968653</v>
      </c>
      <c r="L1320" s="20" t="s">
        <v>131</v>
      </c>
    </row>
    <row r="1321" spans="1:12" s="81" customFormat="1" ht="20.100000000000001" customHeight="1" x14ac:dyDescent="0.25">
      <c r="A1321" s="327"/>
      <c r="B1321" s="322"/>
      <c r="C1321" s="10">
        <f>C1320/13.19*19.53*1.039</f>
        <v>6658.4229135246587</v>
      </c>
      <c r="D1321" s="10">
        <f t="shared" ref="D1321:K1321" si="739">D1320/13.19*19.53*1.039</f>
        <v>12696.722174538059</v>
      </c>
      <c r="E1321" s="10">
        <f t="shared" si="739"/>
        <v>2127.6254442759669</v>
      </c>
      <c r="F1321" s="10">
        <f t="shared" si="739"/>
        <v>599.20658702598519</v>
      </c>
      <c r="G1321" s="10">
        <f t="shared" si="739"/>
        <v>1386.5935278118166</v>
      </c>
      <c r="H1321" s="10">
        <f t="shared" si="739"/>
        <v>724.92693479541902</v>
      </c>
      <c r="I1321" s="10">
        <f t="shared" si="739"/>
        <v>2197.5346957741367</v>
      </c>
      <c r="J1321" s="10">
        <f t="shared" si="739"/>
        <v>3690.552010831062</v>
      </c>
      <c r="K1321" s="10">
        <f t="shared" si="739"/>
        <v>647.78256664543653</v>
      </c>
      <c r="L1321" s="26" t="s">
        <v>131</v>
      </c>
    </row>
    <row r="1322" spans="1:12" s="81" customFormat="1" ht="20.100000000000001" customHeight="1" x14ac:dyDescent="0.25">
      <c r="A1322" s="327"/>
      <c r="B1322" s="322"/>
      <c r="C1322" s="16">
        <f>C1321*0.0214</f>
        <v>142.4902503494277</v>
      </c>
      <c r="D1322" s="16">
        <f t="shared" ref="D1322:K1322" si="740">D1321*0.0214</f>
        <v>271.70985453511446</v>
      </c>
      <c r="E1322" s="16">
        <f t="shared" si="740"/>
        <v>45.531184507505685</v>
      </c>
      <c r="F1322" s="16">
        <f t="shared" si="740"/>
        <v>12.823020962356082</v>
      </c>
      <c r="G1322" s="16">
        <f t="shared" si="740"/>
        <v>29.673101495172872</v>
      </c>
      <c r="H1322" s="16">
        <f t="shared" si="740"/>
        <v>15.513436404621967</v>
      </c>
      <c r="I1322" s="16">
        <f t="shared" si="740"/>
        <v>47.027242489566525</v>
      </c>
      <c r="J1322" s="16">
        <f t="shared" si="740"/>
        <v>78.97781303178472</v>
      </c>
      <c r="K1322" s="16">
        <f t="shared" si="740"/>
        <v>13.862546926212341</v>
      </c>
      <c r="L1322" s="15" t="s">
        <v>131</v>
      </c>
    </row>
    <row r="1323" spans="1:12" s="81" customFormat="1" ht="20.100000000000001" hidden="1" customHeight="1" x14ac:dyDescent="0.25">
      <c r="A1323" s="327"/>
      <c r="B1323" s="322"/>
      <c r="C1323" s="16">
        <f>40780/1638.7</f>
        <v>24.885580032952952</v>
      </c>
      <c r="D1323" s="16">
        <f>37868/410</f>
        <v>92.360975609756096</v>
      </c>
      <c r="E1323" s="16">
        <f>34019/1638.7</f>
        <v>20.759748581192408</v>
      </c>
      <c r="F1323" s="16">
        <f>39780/2/1638.7</f>
        <v>12.13767010435101</v>
      </c>
      <c r="G1323" s="16">
        <f>36843/1638.7</f>
        <v>22.483065844877036</v>
      </c>
      <c r="H1323" s="16">
        <f>F1323</f>
        <v>12.13767010435101</v>
      </c>
      <c r="I1323" s="16">
        <f>47858/1638.7</f>
        <v>29.204857509001037</v>
      </c>
      <c r="J1323" s="16">
        <f>31517/1638.7</f>
        <v>19.232928540916578</v>
      </c>
      <c r="K1323" s="16">
        <f>J1323</f>
        <v>19.232928540916578</v>
      </c>
      <c r="L1323" s="15" t="s">
        <v>131</v>
      </c>
    </row>
    <row r="1324" spans="1:12" s="81" customFormat="1" ht="20.100000000000001" hidden="1" customHeight="1" thickBot="1" x14ac:dyDescent="0.3">
      <c r="A1324" s="327"/>
      <c r="B1324" s="322"/>
      <c r="C1324" s="18">
        <f>(1/1638.7)*192603.54*1.2*P4</f>
        <v>174.6932845249861</v>
      </c>
      <c r="D1324" s="18">
        <f>(1/410)*67410.78*1.2*P4</f>
        <v>244.37506744744542</v>
      </c>
      <c r="E1324" s="18">
        <f>(1/1638.7)*128401.68*1.2*P4</f>
        <v>116.46157291670866</v>
      </c>
      <c r="F1324" s="18">
        <f>(1/1638.7)*96301.26*1.2*P4</f>
        <v>87.346179687531489</v>
      </c>
      <c r="G1324" s="19">
        <f>(1/1638.7)*96301.26*1.2*P4</f>
        <v>87.346179687531489</v>
      </c>
      <c r="H1324" s="19">
        <f>(1/1638.7)*96301.26*1.2*P4</f>
        <v>87.346179687531489</v>
      </c>
      <c r="I1324" s="19">
        <f>(1/1638.7)*126797.22*1.2*P4</f>
        <v>115.00631208770751</v>
      </c>
      <c r="J1324" s="19">
        <f>(1/1638.7)*157292.16*1.2*P4</f>
        <v>142.66551933796043</v>
      </c>
      <c r="K1324" s="18">
        <f>(1/1638.7)*67410.78*1.2*P4</f>
        <v>61.142233266279739</v>
      </c>
      <c r="L1324" s="34" t="s">
        <v>131</v>
      </c>
    </row>
    <row r="1325" spans="1:12" s="81" customFormat="1" ht="20.100000000000001" customHeight="1" thickBot="1" x14ac:dyDescent="0.3">
      <c r="A1325" s="327"/>
      <c r="B1325" s="323"/>
      <c r="C1325" s="18">
        <f>C1324+C1323</f>
        <v>199.57886455793906</v>
      </c>
      <c r="D1325" s="18">
        <f t="shared" ref="D1325:K1325" si="741">D1324+D1323</f>
        <v>336.73604305720153</v>
      </c>
      <c r="E1325" s="18">
        <f t="shared" si="741"/>
        <v>137.22132149790107</v>
      </c>
      <c r="F1325" s="18">
        <f t="shared" si="741"/>
        <v>99.483849791882506</v>
      </c>
      <c r="G1325" s="18">
        <f t="shared" si="741"/>
        <v>109.82924553240852</v>
      </c>
      <c r="H1325" s="18">
        <f t="shared" si="741"/>
        <v>99.483849791882506</v>
      </c>
      <c r="I1325" s="18">
        <f t="shared" si="741"/>
        <v>144.21116959670854</v>
      </c>
      <c r="J1325" s="18">
        <f t="shared" si="741"/>
        <v>161.89844787887702</v>
      </c>
      <c r="K1325" s="18">
        <f t="shared" si="741"/>
        <v>80.375161807196321</v>
      </c>
      <c r="L1325" s="34" t="s">
        <v>131</v>
      </c>
    </row>
    <row r="1326" spans="1:12" s="81" customFormat="1" ht="20.100000000000001" customHeight="1" thickBot="1" x14ac:dyDescent="0.3">
      <c r="A1326" s="328"/>
      <c r="B1326" s="259" t="s">
        <v>212</v>
      </c>
      <c r="C1326" s="36">
        <f>SUM(C1321:C1324)</f>
        <v>7000.4920284320251</v>
      </c>
      <c r="D1326" s="36">
        <f t="shared" ref="D1326:K1326" si="742">SUM(D1321:D1324)</f>
        <v>13305.168072130375</v>
      </c>
      <c r="E1326" s="36">
        <f t="shared" si="742"/>
        <v>2310.3779502813736</v>
      </c>
      <c r="F1326" s="36">
        <f t="shared" si="742"/>
        <v>711.5134577802238</v>
      </c>
      <c r="G1326" s="36">
        <f t="shared" si="742"/>
        <v>1526.095874839398</v>
      </c>
      <c r="H1326" s="36">
        <f t="shared" si="742"/>
        <v>839.92422099192356</v>
      </c>
      <c r="I1326" s="36">
        <f t="shared" si="742"/>
        <v>2388.773107860412</v>
      </c>
      <c r="J1326" s="36">
        <f t="shared" si="742"/>
        <v>3931.4282717417236</v>
      </c>
      <c r="K1326" s="36">
        <f t="shared" si="742"/>
        <v>742.0202753788451</v>
      </c>
      <c r="L1326" s="37" t="s">
        <v>131</v>
      </c>
    </row>
    <row r="1327" spans="1:12" s="134" customFormat="1" ht="20.100000000000001" hidden="1" customHeight="1" thickBot="1" x14ac:dyDescent="0.3">
      <c r="A1327" s="327" t="s">
        <v>1126</v>
      </c>
      <c r="B1327" s="321" t="s">
        <v>118</v>
      </c>
      <c r="C1327" s="9">
        <v>4078.6482108469586</v>
      </c>
      <c r="D1327" s="9">
        <v>8769.1882387434562</v>
      </c>
      <c r="E1327" s="9">
        <v>1383</v>
      </c>
      <c r="F1327" s="9">
        <v>329.5881053855569</v>
      </c>
      <c r="G1327" s="9">
        <v>787.599730738076</v>
      </c>
      <c r="H1327" s="9">
        <v>391.47315332834648</v>
      </c>
      <c r="I1327" s="9">
        <v>1177.892404488493</v>
      </c>
      <c r="J1327" s="9">
        <v>1641.6705400391322</v>
      </c>
      <c r="K1327" s="9">
        <v>563.34609226397095</v>
      </c>
      <c r="L1327" s="21" t="s">
        <v>131</v>
      </c>
    </row>
    <row r="1328" spans="1:12" s="134" customFormat="1" ht="20.100000000000001" customHeight="1" x14ac:dyDescent="0.25">
      <c r="A1328" s="327"/>
      <c r="B1328" s="322"/>
      <c r="C1328" s="10">
        <f>C1327/13.19*19.53*1.039</f>
        <v>6274.6462123272859</v>
      </c>
      <c r="D1328" s="10">
        <f t="shared" ref="D1328:K1328" si="743">D1327/13.19*19.53*1.039</f>
        <v>13490.634867965386</v>
      </c>
      <c r="E1328" s="10">
        <f t="shared" si="743"/>
        <v>2127.6254442759669</v>
      </c>
      <c r="F1328" s="10">
        <f t="shared" si="743"/>
        <v>507.04268918945741</v>
      </c>
      <c r="G1328" s="10">
        <f t="shared" si="743"/>
        <v>1211.6538156350184</v>
      </c>
      <c r="H1328" s="10">
        <f t="shared" si="743"/>
        <v>602.24746332056156</v>
      </c>
      <c r="I1328" s="10">
        <f t="shared" si="743"/>
        <v>1812.0852136002288</v>
      </c>
      <c r="J1328" s="10">
        <f t="shared" si="743"/>
        <v>2525.5676154052967</v>
      </c>
      <c r="K1328" s="10">
        <f t="shared" si="743"/>
        <v>866.65905989462112</v>
      </c>
      <c r="L1328" s="21" t="s">
        <v>131</v>
      </c>
    </row>
    <row r="1329" spans="1:12" s="134" customFormat="1" ht="20.100000000000001" customHeight="1" x14ac:dyDescent="0.25">
      <c r="A1329" s="327"/>
      <c r="B1329" s="322"/>
      <c r="C1329" s="16">
        <f>C1328*0.0214</f>
        <v>134.2774289438039</v>
      </c>
      <c r="D1329" s="16">
        <f t="shared" ref="D1329:K1329" si="744">D1328*0.0214</f>
        <v>288.69958617445923</v>
      </c>
      <c r="E1329" s="16">
        <f t="shared" si="744"/>
        <v>45.531184507505685</v>
      </c>
      <c r="F1329" s="16">
        <f t="shared" si="744"/>
        <v>10.850713548654388</v>
      </c>
      <c r="G1329" s="16">
        <f t="shared" si="744"/>
        <v>25.929391654589391</v>
      </c>
      <c r="H1329" s="16">
        <f t="shared" si="744"/>
        <v>12.888095715060016</v>
      </c>
      <c r="I1329" s="16">
        <f t="shared" si="744"/>
        <v>38.778623571044896</v>
      </c>
      <c r="J1329" s="16">
        <f t="shared" si="744"/>
        <v>54.047146969673349</v>
      </c>
      <c r="K1329" s="16">
        <f t="shared" si="744"/>
        <v>18.54650388174489</v>
      </c>
      <c r="L1329" s="15" t="s">
        <v>131</v>
      </c>
    </row>
    <row r="1330" spans="1:12" s="134" customFormat="1" ht="20.100000000000001" hidden="1" customHeight="1" x14ac:dyDescent="0.25">
      <c r="A1330" s="327"/>
      <c r="B1330" s="322"/>
      <c r="C1330" s="16">
        <f>41567/2098.7</f>
        <v>19.806070424548533</v>
      </c>
      <c r="D1330" s="16">
        <f>38451/430</f>
        <v>89.420930232558135</v>
      </c>
      <c r="E1330" s="16">
        <f>35287/2098.7</f>
        <v>16.813741840186783</v>
      </c>
      <c r="F1330" s="16">
        <f>52071/2/2098.7</f>
        <v>12.405536760851957</v>
      </c>
      <c r="G1330" s="16">
        <f>50190/2098.7</f>
        <v>23.914804402725498</v>
      </c>
      <c r="H1330" s="16">
        <f>F1330</f>
        <v>12.405536760851957</v>
      </c>
      <c r="I1330" s="16">
        <f>53011/2098.7</f>
        <v>25.258969838471437</v>
      </c>
      <c r="J1330" s="16">
        <f>31658/2098.7</f>
        <v>15.084576166198124</v>
      </c>
      <c r="K1330" s="16">
        <f>J1330</f>
        <v>15.084576166198124</v>
      </c>
      <c r="L1330" s="15" t="s">
        <v>131</v>
      </c>
    </row>
    <row r="1331" spans="1:12" s="51" customFormat="1" ht="20.100000000000001" hidden="1" customHeight="1" thickBot="1" x14ac:dyDescent="0.3">
      <c r="A1331" s="327"/>
      <c r="B1331" s="322"/>
      <c r="C1331" s="18">
        <f>(1/2098.7)*262327.68*1.2*P4</f>
        <v>185.78265065726401</v>
      </c>
      <c r="D1331" s="18">
        <f>(1/630)*91814.28*1.2*P4</f>
        <v>216.61128684090224</v>
      </c>
      <c r="E1331" s="18">
        <f>(1/2098.7)*174885.12*1.2*P4</f>
        <v>123.85510043817601</v>
      </c>
      <c r="F1331" s="18">
        <f>(1/2098.7)*131163.84*1.2*P4</f>
        <v>92.891325328632007</v>
      </c>
      <c r="G1331" s="19">
        <f>(1/2098.7)*131163.84*1.2*P4</f>
        <v>92.891325328632007</v>
      </c>
      <c r="H1331" s="19">
        <f>(1/2098.7)*131163.84*1.2*P4</f>
        <v>92.891325328632007</v>
      </c>
      <c r="I1331" s="19">
        <f>(1/2098.7)*172699.26*1.2*P4</f>
        <v>122.30705615720008</v>
      </c>
      <c r="J1331" s="19">
        <f>(1/2098.7)*214233.66*1.2*P4</f>
        <v>151.72206461326184</v>
      </c>
      <c r="K1331" s="18">
        <f>(1/2098.7)*91814.28*1.2*P4</f>
        <v>65.023638781039892</v>
      </c>
      <c r="L1331" s="34" t="s">
        <v>131</v>
      </c>
    </row>
    <row r="1332" spans="1:12" s="51" customFormat="1" ht="20.100000000000001" customHeight="1" thickBot="1" x14ac:dyDescent="0.3">
      <c r="A1332" s="327"/>
      <c r="B1332" s="323"/>
      <c r="C1332" s="18">
        <f>C1331+C1330</f>
        <v>205.58872108181254</v>
      </c>
      <c r="D1332" s="18">
        <f t="shared" ref="D1332:K1332" si="745">D1331+D1330</f>
        <v>306.0322170734604</v>
      </c>
      <c r="E1332" s="18">
        <f t="shared" si="745"/>
        <v>140.6688422783628</v>
      </c>
      <c r="F1332" s="18">
        <f t="shared" si="745"/>
        <v>105.29686208948397</v>
      </c>
      <c r="G1332" s="18">
        <f t="shared" si="745"/>
        <v>116.8061297313575</v>
      </c>
      <c r="H1332" s="18">
        <f t="shared" si="745"/>
        <v>105.29686208948397</v>
      </c>
      <c r="I1332" s="18">
        <f t="shared" si="745"/>
        <v>147.56602599567151</v>
      </c>
      <c r="J1332" s="18">
        <f t="shared" si="745"/>
        <v>166.80664077945997</v>
      </c>
      <c r="K1332" s="18">
        <f t="shared" si="745"/>
        <v>80.108214947238011</v>
      </c>
      <c r="L1332" s="34" t="s">
        <v>131</v>
      </c>
    </row>
    <row r="1333" spans="1:12" s="51" customFormat="1" ht="20.100000000000001" customHeight="1" thickBot="1" x14ac:dyDescent="0.3">
      <c r="A1333" s="328"/>
      <c r="B1333" s="265" t="s">
        <v>212</v>
      </c>
      <c r="C1333" s="36">
        <f>SUM(C1328:C1331)</f>
        <v>6614.5123623529016</v>
      </c>
      <c r="D1333" s="36">
        <f t="shared" ref="D1333:K1333" si="746">SUM(D1328:D1331)</f>
        <v>14085.366671213305</v>
      </c>
      <c r="E1333" s="36">
        <f t="shared" si="746"/>
        <v>2313.8254710618353</v>
      </c>
      <c r="F1333" s="36">
        <f t="shared" si="746"/>
        <v>623.1902648275958</v>
      </c>
      <c r="G1333" s="36">
        <f t="shared" si="746"/>
        <v>1354.3893370209653</v>
      </c>
      <c r="H1333" s="36">
        <f t="shared" si="746"/>
        <v>720.43242112510552</v>
      </c>
      <c r="I1333" s="36">
        <f t="shared" si="746"/>
        <v>1998.4298631669451</v>
      </c>
      <c r="J1333" s="36">
        <f t="shared" si="746"/>
        <v>2746.4214031544302</v>
      </c>
      <c r="K1333" s="36">
        <f t="shared" si="746"/>
        <v>965.31377872360395</v>
      </c>
      <c r="L1333" s="37" t="s">
        <v>131</v>
      </c>
    </row>
    <row r="1334" spans="1:12" s="51" customFormat="1" ht="20.100000000000001" hidden="1" customHeight="1" thickBot="1" x14ac:dyDescent="0.3">
      <c r="A1334" s="327" t="s">
        <v>1127</v>
      </c>
      <c r="B1334" s="321" t="s">
        <v>119</v>
      </c>
      <c r="C1334" s="9">
        <v>3573.0175127032098</v>
      </c>
      <c r="D1334" s="9">
        <v>10478.430456112876</v>
      </c>
      <c r="E1334" s="9">
        <v>1383</v>
      </c>
      <c r="F1334" s="9">
        <v>443.71335207413745</v>
      </c>
      <c r="G1334" s="9">
        <v>1891.5004326241137</v>
      </c>
      <c r="H1334" s="9">
        <v>282.95842562880017</v>
      </c>
      <c r="I1334" s="9">
        <v>3467.4337783687947</v>
      </c>
      <c r="J1334" s="9">
        <v>3231.9176270248672</v>
      </c>
      <c r="K1334" s="9" t="s">
        <v>131</v>
      </c>
      <c r="L1334" s="20" t="s">
        <v>131</v>
      </c>
    </row>
    <row r="1335" spans="1:12" s="51" customFormat="1" ht="20.100000000000001" customHeight="1" x14ac:dyDescent="0.25">
      <c r="A1335" s="327"/>
      <c r="B1335" s="322"/>
      <c r="C1335" s="10">
        <f>C1334/14.06*19.53*1.039</f>
        <v>5156.6495214789711</v>
      </c>
      <c r="D1335" s="7">
        <f>18096.23</f>
        <v>18096.23</v>
      </c>
      <c r="E1335" s="10">
        <f t="shared" ref="E1335:J1335" si="747">E1334/14.06*19.53*1.039</f>
        <v>1995.9729452347085</v>
      </c>
      <c r="F1335" s="10">
        <f t="shared" si="747"/>
        <v>640.37588299304491</v>
      </c>
      <c r="G1335" s="10">
        <f t="shared" si="747"/>
        <v>2729.8508238738086</v>
      </c>
      <c r="H1335" s="10">
        <f t="shared" si="747"/>
        <v>408.37119463578631</v>
      </c>
      <c r="I1335" s="10">
        <f t="shared" si="747"/>
        <v>5004.2689884432948</v>
      </c>
      <c r="J1335" s="10">
        <f t="shared" si="747"/>
        <v>4664.3674221032488</v>
      </c>
      <c r="K1335" s="10" t="s">
        <v>131</v>
      </c>
      <c r="L1335" s="26" t="s">
        <v>131</v>
      </c>
    </row>
    <row r="1336" spans="1:12" s="51" customFormat="1" ht="20.100000000000001" customHeight="1" x14ac:dyDescent="0.25">
      <c r="A1336" s="327"/>
      <c r="B1336" s="322"/>
      <c r="C1336" s="16">
        <f>C1335*0.0214</f>
        <v>110.35229975964998</v>
      </c>
      <c r="D1336" s="16">
        <f t="shared" ref="D1336:J1336" si="748">D1335*0.0214</f>
        <v>387.259322</v>
      </c>
      <c r="E1336" s="16">
        <f t="shared" si="748"/>
        <v>42.713821028022757</v>
      </c>
      <c r="F1336" s="16">
        <f t="shared" si="748"/>
        <v>13.704043896051161</v>
      </c>
      <c r="G1336" s="16">
        <f t="shared" si="748"/>
        <v>58.418807630899501</v>
      </c>
      <c r="H1336" s="16">
        <f t="shared" si="748"/>
        <v>8.7391435652058274</v>
      </c>
      <c r="I1336" s="16">
        <f t="shared" si="748"/>
        <v>107.0913563526865</v>
      </c>
      <c r="J1336" s="16">
        <f t="shared" si="748"/>
        <v>99.817462833009515</v>
      </c>
      <c r="K1336" s="16" t="s">
        <v>131</v>
      </c>
      <c r="L1336" s="15" t="s">
        <v>131</v>
      </c>
    </row>
    <row r="1337" spans="1:12" s="51" customFormat="1" ht="20.100000000000001" hidden="1" customHeight="1" x14ac:dyDescent="0.25">
      <c r="A1337" s="327"/>
      <c r="B1337" s="322"/>
      <c r="C1337" s="16">
        <f>32341/338.4</f>
        <v>95.570330969267147</v>
      </c>
      <c r="D1337" s="16">
        <f>31608/190</f>
        <v>166.3578947368421</v>
      </c>
      <c r="E1337" s="16">
        <f>30433/338.4</f>
        <v>89.932033096926716</v>
      </c>
      <c r="F1337" s="16">
        <f>30561/2/338.4</f>
        <v>45.155141843971634</v>
      </c>
      <c r="G1337" s="16">
        <f>30410/338.4</f>
        <v>89.864066193853432</v>
      </c>
      <c r="H1337" s="16">
        <f>F1337</f>
        <v>45.155141843971634</v>
      </c>
      <c r="I1337" s="16">
        <f>30865/338.4</f>
        <v>91.208628841607577</v>
      </c>
      <c r="J1337" s="16">
        <f>30008/338.4</f>
        <v>88.67612293144208</v>
      </c>
      <c r="K1337" s="16" t="s">
        <v>131</v>
      </c>
      <c r="L1337" s="15" t="s">
        <v>131</v>
      </c>
    </row>
    <row r="1338" spans="1:12" s="51" customFormat="1" ht="20.100000000000001" hidden="1" customHeight="1" thickBot="1" x14ac:dyDescent="0.3">
      <c r="A1338" s="327"/>
      <c r="B1338" s="322"/>
      <c r="C1338" s="18">
        <f>(1/338.4)*80210.76*1.2*P4</f>
        <v>352.30083778387456</v>
      </c>
      <c r="D1338" s="18">
        <f>(1/338.4)*68178.84*1.2*P4</f>
        <v>299.45436810638296</v>
      </c>
      <c r="E1338" s="18">
        <f>(1/338.4)*53473.5*1.2*P4</f>
        <v>234.86573184490479</v>
      </c>
      <c r="F1338" s="18">
        <f>(1/338.4)*40105.38*1.2*P4</f>
        <v>176.15041889193728</v>
      </c>
      <c r="G1338" s="19">
        <f>(1/338.4)*40105.38*1.2*P4</f>
        <v>176.15041889193728</v>
      </c>
      <c r="H1338" s="19">
        <f>(1/338.4)*40105.38*1.2*P4</f>
        <v>176.15041889193728</v>
      </c>
      <c r="I1338" s="19">
        <f>(1/338.4)*52805.4*1.2*P4</f>
        <v>231.93131020716683</v>
      </c>
      <c r="J1338" s="19">
        <f>(1/338.4)*65505.42*1.2*P4</f>
        <v>287.71220152239641</v>
      </c>
      <c r="K1338" s="18" t="s">
        <v>131</v>
      </c>
      <c r="L1338" s="34" t="s">
        <v>131</v>
      </c>
    </row>
    <row r="1339" spans="1:12" s="51" customFormat="1" ht="20.100000000000001" customHeight="1" thickBot="1" x14ac:dyDescent="0.3">
      <c r="A1339" s="327"/>
      <c r="B1339" s="323"/>
      <c r="C1339" s="18">
        <f>C1338+C1337</f>
        <v>447.87116875314172</v>
      </c>
      <c r="D1339" s="18">
        <f t="shared" ref="D1339:J1339" si="749">D1338+D1337</f>
        <v>465.81226284322508</v>
      </c>
      <c r="E1339" s="18">
        <f t="shared" si="749"/>
        <v>324.79776494183147</v>
      </c>
      <c r="F1339" s="18">
        <f t="shared" si="749"/>
        <v>221.3055607359089</v>
      </c>
      <c r="G1339" s="18">
        <f t="shared" si="749"/>
        <v>266.01448508579074</v>
      </c>
      <c r="H1339" s="18">
        <f t="shared" si="749"/>
        <v>221.3055607359089</v>
      </c>
      <c r="I1339" s="18">
        <f t="shared" si="749"/>
        <v>323.13993904877441</v>
      </c>
      <c r="J1339" s="18">
        <f t="shared" si="749"/>
        <v>376.38832445383849</v>
      </c>
      <c r="K1339" s="18" t="s">
        <v>131</v>
      </c>
      <c r="L1339" s="34" t="s">
        <v>131</v>
      </c>
    </row>
    <row r="1340" spans="1:12" s="51" customFormat="1" ht="20.100000000000001" customHeight="1" thickBot="1" x14ac:dyDescent="0.3">
      <c r="A1340" s="328"/>
      <c r="B1340" s="259" t="s">
        <v>212</v>
      </c>
      <c r="C1340" s="36">
        <f>SUM(C1335:C1338)</f>
        <v>5714.8729899917626</v>
      </c>
      <c r="D1340" s="36">
        <f t="shared" ref="D1340:J1340" si="750">SUM(D1335:D1338)</f>
        <v>18949.301584843226</v>
      </c>
      <c r="E1340" s="36">
        <f t="shared" si="750"/>
        <v>2363.4845312045627</v>
      </c>
      <c r="F1340" s="36">
        <f t="shared" si="750"/>
        <v>875.385487625005</v>
      </c>
      <c r="G1340" s="36">
        <f t="shared" si="750"/>
        <v>3054.2841165904988</v>
      </c>
      <c r="H1340" s="36">
        <f t="shared" si="750"/>
        <v>638.41589893690104</v>
      </c>
      <c r="I1340" s="36">
        <f t="shared" si="750"/>
        <v>5434.5002838447554</v>
      </c>
      <c r="J1340" s="36">
        <f t="shared" si="750"/>
        <v>5140.5732093900979</v>
      </c>
      <c r="K1340" s="36" t="s">
        <v>131</v>
      </c>
      <c r="L1340" s="37" t="s">
        <v>131</v>
      </c>
    </row>
    <row r="1341" spans="1:12" s="73" customFormat="1" ht="20.100000000000001" hidden="1" customHeight="1" thickBot="1" x14ac:dyDescent="0.3">
      <c r="A1341" s="327" t="s">
        <v>1128</v>
      </c>
      <c r="B1341" s="321" t="s">
        <v>203</v>
      </c>
      <c r="C1341" s="9">
        <v>4945.559511553216</v>
      </c>
      <c r="D1341" s="9">
        <v>6652.6600481249998</v>
      </c>
      <c r="E1341" s="9">
        <v>1383</v>
      </c>
      <c r="F1341" s="9">
        <v>427.63951298064052</v>
      </c>
      <c r="G1341" s="9">
        <v>1045.5537328932107</v>
      </c>
      <c r="H1341" s="9">
        <v>344.30567517173694</v>
      </c>
      <c r="I1341" s="9">
        <v>2099.2708040860025</v>
      </c>
      <c r="J1341" s="9">
        <v>3767.7362547952534</v>
      </c>
      <c r="K1341" s="9">
        <v>751.73166054063699</v>
      </c>
      <c r="L1341" s="20" t="s">
        <v>131</v>
      </c>
    </row>
    <row r="1342" spans="1:12" s="73" customFormat="1" ht="20.100000000000001" customHeight="1" x14ac:dyDescent="0.25">
      <c r="A1342" s="327"/>
      <c r="B1342" s="322"/>
      <c r="C1342" s="7">
        <f>C1341/14.06*19.53*1.039</f>
        <v>7137.5292726741854</v>
      </c>
      <c r="D1342" s="7">
        <f>18096.23</f>
        <v>18096.23</v>
      </c>
      <c r="E1342" s="7">
        <f t="shared" ref="E1342:K1342" si="751">E1341/14.06*19.53*1.039</f>
        <v>1995.9729452347085</v>
      </c>
      <c r="F1342" s="7">
        <f t="shared" si="751"/>
        <v>617.17780059487018</v>
      </c>
      <c r="G1342" s="7">
        <f t="shared" si="751"/>
        <v>1508.9638204222745</v>
      </c>
      <c r="H1342" s="7">
        <f t="shared" si="751"/>
        <v>496.90875815875381</v>
      </c>
      <c r="I1342" s="7">
        <f t="shared" si="751"/>
        <v>3029.709132087326</v>
      </c>
      <c r="J1342" s="7">
        <f t="shared" si="751"/>
        <v>5437.67146012384</v>
      </c>
      <c r="K1342" s="7">
        <f t="shared" si="751"/>
        <v>1084.9139960343264</v>
      </c>
      <c r="L1342" s="8" t="s">
        <v>131</v>
      </c>
    </row>
    <row r="1343" spans="1:12" s="73" customFormat="1" ht="20.100000000000001" customHeight="1" x14ac:dyDescent="0.25">
      <c r="A1343" s="327"/>
      <c r="B1343" s="322"/>
      <c r="C1343" s="35">
        <f>C1342*0.0214</f>
        <v>152.74312643522757</v>
      </c>
      <c r="D1343" s="35">
        <f t="shared" ref="D1343:K1343" si="752">D1342*0.0214</f>
        <v>387.259322</v>
      </c>
      <c r="E1343" s="35">
        <f t="shared" si="752"/>
        <v>42.713821028022757</v>
      </c>
      <c r="F1343" s="35">
        <f t="shared" si="752"/>
        <v>13.207604932730222</v>
      </c>
      <c r="G1343" s="35">
        <f t="shared" si="752"/>
        <v>32.291825757036669</v>
      </c>
      <c r="H1343" s="35">
        <f t="shared" si="752"/>
        <v>10.633847424597331</v>
      </c>
      <c r="I1343" s="35">
        <f t="shared" si="752"/>
        <v>64.835775426668775</v>
      </c>
      <c r="J1343" s="35">
        <f t="shared" si="752"/>
        <v>116.36616924665017</v>
      </c>
      <c r="K1343" s="35">
        <f t="shared" si="752"/>
        <v>23.217159515134583</v>
      </c>
      <c r="L1343" s="26" t="s">
        <v>131</v>
      </c>
    </row>
    <row r="1344" spans="1:12" s="73" customFormat="1" ht="20.100000000000001" hidden="1" customHeight="1" x14ac:dyDescent="0.25">
      <c r="A1344" s="327"/>
      <c r="B1344" s="322"/>
      <c r="C1344" s="16">
        <f>40740/1470.7</f>
        <v>27.701094716801521</v>
      </c>
      <c r="D1344" s="16">
        <f>37838/540</f>
        <v>70.07037037037037</v>
      </c>
      <c r="E1344" s="16">
        <f>33556/1470.7</f>
        <v>22.816345957707213</v>
      </c>
      <c r="F1344" s="16">
        <f>38727/2/1470.7</f>
        <v>13.166179370367852</v>
      </c>
      <c r="G1344" s="16">
        <f>36090/1470.7</f>
        <v>24.539335010539197</v>
      </c>
      <c r="H1344" s="16">
        <f>F1344</f>
        <v>13.166179370367852</v>
      </c>
      <c r="I1344" s="16">
        <f>39386/1470.7</f>
        <v>26.780444686203847</v>
      </c>
      <c r="J1344" s="16">
        <f>31510/1470.7</f>
        <v>21.425171686951792</v>
      </c>
      <c r="K1344" s="16">
        <f>J1344</f>
        <v>21.425171686951792</v>
      </c>
      <c r="L1344" s="15" t="s">
        <v>131</v>
      </c>
    </row>
    <row r="1345" spans="1:12" s="73" customFormat="1" ht="20.100000000000001" hidden="1" customHeight="1" thickBot="1" x14ac:dyDescent="0.3">
      <c r="A1345" s="327"/>
      <c r="B1345" s="322"/>
      <c r="C1345" s="18">
        <f>(1/1120.9)*130245.84*1.2*P4</f>
        <v>172.70638380421741</v>
      </c>
      <c r="D1345" s="18">
        <f>(1/1120.9)*110709.78*1.2*P4</f>
        <v>146.80150825209063</v>
      </c>
      <c r="E1345" s="18">
        <f>(1/1120.9)*86830.56*1.2*P4</f>
        <v>115.13758920281163</v>
      </c>
      <c r="F1345" s="18">
        <f>(1/1120.9)*65122.92*1.2*P4</f>
        <v>86.353191902108705</v>
      </c>
      <c r="G1345" s="19">
        <f>(1/1120.9)*65122.92*1.2*P4</f>
        <v>86.353191902108705</v>
      </c>
      <c r="H1345" s="19">
        <f>(1/1120.9)*65122.92*1.2*P4</f>
        <v>86.353191902108705</v>
      </c>
      <c r="I1345" s="19">
        <f>(1/1120.9)*85745.28*1.2*P4</f>
        <v>113.69850459008971</v>
      </c>
      <c r="J1345" s="19">
        <f>(1/1120.9)*106367.64*1.2*P4</f>
        <v>141.04381727807069</v>
      </c>
      <c r="K1345" s="18">
        <f>(1/1120.9)*45585.84*1.2*P4</f>
        <v>60.446963826849654</v>
      </c>
      <c r="L1345" s="34" t="s">
        <v>131</v>
      </c>
    </row>
    <row r="1346" spans="1:12" s="73" customFormat="1" ht="20.100000000000001" customHeight="1" thickBot="1" x14ac:dyDescent="0.3">
      <c r="A1346" s="327"/>
      <c r="B1346" s="323"/>
      <c r="C1346" s="18">
        <f>C1345+C1344</f>
        <v>200.40747852101893</v>
      </c>
      <c r="D1346" s="18">
        <f t="shared" ref="D1346:K1346" si="753">D1345+D1344</f>
        <v>216.871878622461</v>
      </c>
      <c r="E1346" s="18">
        <f t="shared" si="753"/>
        <v>137.95393516051882</v>
      </c>
      <c r="F1346" s="18">
        <f t="shared" si="753"/>
        <v>99.519371272476562</v>
      </c>
      <c r="G1346" s="18">
        <f t="shared" si="753"/>
        <v>110.8925269126479</v>
      </c>
      <c r="H1346" s="18">
        <f t="shared" si="753"/>
        <v>99.519371272476562</v>
      </c>
      <c r="I1346" s="18">
        <f t="shared" si="753"/>
        <v>140.47894927629355</v>
      </c>
      <c r="J1346" s="18">
        <f t="shared" si="753"/>
        <v>162.46898896502248</v>
      </c>
      <c r="K1346" s="18">
        <f t="shared" si="753"/>
        <v>81.872135513801453</v>
      </c>
      <c r="L1346" s="34" t="s">
        <v>131</v>
      </c>
    </row>
    <row r="1347" spans="1:12" s="73" customFormat="1" ht="20.100000000000001" customHeight="1" thickBot="1" x14ac:dyDescent="0.3">
      <c r="A1347" s="328"/>
      <c r="B1347" s="259" t="s">
        <v>212</v>
      </c>
      <c r="C1347" s="36">
        <f>SUM(C1342:C1345)</f>
        <v>7490.6798776304322</v>
      </c>
      <c r="D1347" s="36">
        <f t="shared" ref="D1347:K1347" si="754">SUM(D1342:D1345)</f>
        <v>18700.361200622461</v>
      </c>
      <c r="E1347" s="36">
        <f t="shared" si="754"/>
        <v>2176.6407014232504</v>
      </c>
      <c r="F1347" s="36">
        <f t="shared" si="754"/>
        <v>729.904776800077</v>
      </c>
      <c r="G1347" s="36">
        <f t="shared" si="754"/>
        <v>1652.1481730919588</v>
      </c>
      <c r="H1347" s="36">
        <f t="shared" si="754"/>
        <v>607.06197685582777</v>
      </c>
      <c r="I1347" s="36">
        <f t="shared" si="754"/>
        <v>3235.0238567902884</v>
      </c>
      <c r="J1347" s="36">
        <f t="shared" si="754"/>
        <v>5716.5066183355129</v>
      </c>
      <c r="K1347" s="36">
        <f t="shared" si="754"/>
        <v>1190.0032910632626</v>
      </c>
      <c r="L1347" s="37" t="s">
        <v>131</v>
      </c>
    </row>
    <row r="1348" spans="1:12" s="51" customFormat="1" ht="20.100000000000001" hidden="1" customHeight="1" thickBot="1" x14ac:dyDescent="0.3">
      <c r="A1348" s="327" t="s">
        <v>1129</v>
      </c>
      <c r="B1348" s="321" t="s">
        <v>29</v>
      </c>
      <c r="C1348" s="9">
        <v>4380.5127094796981</v>
      </c>
      <c r="D1348" s="9">
        <v>8769.1561157068063</v>
      </c>
      <c r="E1348" s="9">
        <v>1383</v>
      </c>
      <c r="F1348" s="9">
        <v>393.61665396495778</v>
      </c>
      <c r="G1348" s="9">
        <v>910.84722616897454</v>
      </c>
      <c r="H1348" s="9">
        <v>475.90113381381764</v>
      </c>
      <c r="I1348" s="9">
        <v>1443.6414810355209</v>
      </c>
      <c r="J1348" s="9">
        <v>2421.9851169707345</v>
      </c>
      <c r="K1348" s="9">
        <v>425.52748109998964</v>
      </c>
      <c r="L1348" s="20" t="s">
        <v>131</v>
      </c>
    </row>
    <row r="1349" spans="1:12" s="51" customFormat="1" ht="20.100000000000001" customHeight="1" x14ac:dyDescent="0.25">
      <c r="A1349" s="327"/>
      <c r="B1349" s="322"/>
      <c r="C1349" s="7">
        <f>C1348/14.06*19.53*1.039</f>
        <v>6322.0425555880447</v>
      </c>
      <c r="D1349" s="7">
        <f t="shared" ref="D1349:K1349" si="755">D1348/14.06*19.53*1.039</f>
        <v>12655.819493485371</v>
      </c>
      <c r="E1349" s="7">
        <f t="shared" si="755"/>
        <v>1995.9729452347085</v>
      </c>
      <c r="F1349" s="7">
        <f t="shared" si="755"/>
        <v>568.07533774972364</v>
      </c>
      <c r="G1349" s="7">
        <f t="shared" si="755"/>
        <v>1314.5527264463867</v>
      </c>
      <c r="H1349" s="7">
        <f t="shared" si="755"/>
        <v>686.82992602957518</v>
      </c>
      <c r="I1349" s="7">
        <f t="shared" si="755"/>
        <v>2083.4919296930334</v>
      </c>
      <c r="J1349" s="7">
        <f t="shared" si="755"/>
        <v>3495.456809280337</v>
      </c>
      <c r="K1349" s="7">
        <f t="shared" si="755"/>
        <v>614.12967442476725</v>
      </c>
      <c r="L1349" s="8" t="s">
        <v>131</v>
      </c>
    </row>
    <row r="1350" spans="1:12" s="51" customFormat="1" ht="20.100000000000001" customHeight="1" x14ac:dyDescent="0.25">
      <c r="A1350" s="327"/>
      <c r="B1350" s="322"/>
      <c r="C1350" s="35">
        <f>C1348*0.0214</f>
        <v>93.742971982865527</v>
      </c>
      <c r="D1350" s="35">
        <f t="shared" ref="D1350:K1350" si="756">D1348*0.0214</f>
        <v>187.65994087612563</v>
      </c>
      <c r="E1350" s="35">
        <f t="shared" si="756"/>
        <v>29.5962</v>
      </c>
      <c r="F1350" s="35">
        <f t="shared" si="756"/>
        <v>8.4233963948500961</v>
      </c>
      <c r="G1350" s="35">
        <f t="shared" si="756"/>
        <v>19.492130640016054</v>
      </c>
      <c r="H1350" s="35">
        <f t="shared" si="756"/>
        <v>10.184284263615696</v>
      </c>
      <c r="I1350" s="35">
        <f t="shared" si="756"/>
        <v>30.893927694160144</v>
      </c>
      <c r="J1350" s="35">
        <f t="shared" si="756"/>
        <v>51.830481503173715</v>
      </c>
      <c r="K1350" s="35">
        <f t="shared" si="756"/>
        <v>9.106288095539778</v>
      </c>
      <c r="L1350" s="15" t="s">
        <v>131</v>
      </c>
    </row>
    <row r="1351" spans="1:12" s="51" customFormat="1" ht="20.100000000000001" hidden="1" customHeight="1" x14ac:dyDescent="0.25">
      <c r="A1351" s="327"/>
      <c r="B1351" s="322"/>
      <c r="C1351" s="16">
        <f>40925/1494.9</f>
        <v>27.37641313800254</v>
      </c>
      <c r="D1351" s="16">
        <f>37975/550</f>
        <v>69.045454545454547</v>
      </c>
      <c r="E1351" s="16">
        <f>33622/1494.9</f>
        <v>22.491136530871628</v>
      </c>
      <c r="F1351" s="16">
        <f>38878/2/1494.9</f>
        <v>13.003545387651346</v>
      </c>
      <c r="G1351" s="16">
        <f>36199/1494.9</f>
        <v>24.214997658706267</v>
      </c>
      <c r="H1351" s="16">
        <f>F1351</f>
        <v>13.003545387651346</v>
      </c>
      <c r="I1351" s="16">
        <f>39548/1494.9</f>
        <v>26.455281289718375</v>
      </c>
      <c r="J1351" s="16">
        <f>31543/1494.9</f>
        <v>21.100408054050437</v>
      </c>
      <c r="K1351" s="16">
        <f>J1351</f>
        <v>21.100408054050437</v>
      </c>
      <c r="L1351" s="15" t="s">
        <v>131</v>
      </c>
    </row>
    <row r="1352" spans="1:12" s="51" customFormat="1" ht="20.100000000000001" hidden="1" customHeight="1" thickBot="1" x14ac:dyDescent="0.3">
      <c r="A1352" s="327"/>
      <c r="B1352" s="322"/>
      <c r="C1352" s="18">
        <f>(1/1494.9)*136301.58*1.2</f>
        <v>109.41326911499095</v>
      </c>
      <c r="D1352" s="18">
        <f>(1/1494.9)*47705.4*1.2</f>
        <v>38.29452137266707</v>
      </c>
      <c r="E1352" s="18">
        <f>(1/1494.9)*90867.72*1.2</f>
        <v>72.942179409993983</v>
      </c>
      <c r="F1352" s="18">
        <f>(1/1494.9)*68151.3*1.2</f>
        <v>54.707043949428055</v>
      </c>
      <c r="G1352" s="19">
        <f>(1/1494.9)*68151.3*1.2</f>
        <v>54.707043949428055</v>
      </c>
      <c r="H1352" s="19">
        <f>(1/1494.9)*68151.3*1.2</f>
        <v>54.707043949428055</v>
      </c>
      <c r="I1352" s="19">
        <f>(1/1494.9)*89732.46*1.2</f>
        <v>72.030872968091515</v>
      </c>
      <c r="J1352" s="19">
        <f>(1/1494.9)*111313.62*1.2</f>
        <v>89.354701986754961</v>
      </c>
      <c r="K1352" s="18">
        <f>(1/1494.9)*47705.4*1.2</f>
        <v>38.29452137266707</v>
      </c>
      <c r="L1352" s="34" t="s">
        <v>131</v>
      </c>
    </row>
    <row r="1353" spans="1:12" s="51" customFormat="1" ht="20.100000000000001" customHeight="1" thickBot="1" x14ac:dyDescent="0.3">
      <c r="A1353" s="327"/>
      <c r="B1353" s="323"/>
      <c r="C1353" s="18">
        <f>C1352+C1351</f>
        <v>136.78968225299349</v>
      </c>
      <c r="D1353" s="18">
        <f t="shared" ref="D1353:K1353" si="757">D1352+D1351</f>
        <v>107.33997591812161</v>
      </c>
      <c r="E1353" s="18">
        <f t="shared" si="757"/>
        <v>95.433315940865612</v>
      </c>
      <c r="F1353" s="18">
        <f t="shared" si="757"/>
        <v>67.710589337079398</v>
      </c>
      <c r="G1353" s="18">
        <f t="shared" si="757"/>
        <v>78.922041608134322</v>
      </c>
      <c r="H1353" s="18">
        <f t="shared" si="757"/>
        <v>67.710589337079398</v>
      </c>
      <c r="I1353" s="18">
        <f t="shared" si="757"/>
        <v>98.486154257809886</v>
      </c>
      <c r="J1353" s="18">
        <f t="shared" si="757"/>
        <v>110.45511004080539</v>
      </c>
      <c r="K1353" s="18">
        <f t="shared" si="757"/>
        <v>59.394929426717511</v>
      </c>
      <c r="L1353" s="34" t="s">
        <v>131</v>
      </c>
    </row>
    <row r="1354" spans="1:12" s="51" customFormat="1" ht="20.100000000000001" customHeight="1" thickBot="1" x14ac:dyDescent="0.3">
      <c r="A1354" s="328"/>
      <c r="B1354" s="265" t="s">
        <v>212</v>
      </c>
      <c r="C1354" s="36">
        <f>SUM(C1349:C1352)</f>
        <v>6552.5752098239027</v>
      </c>
      <c r="D1354" s="36">
        <f t="shared" ref="D1354:K1354" si="758">SUM(D1349:D1352)</f>
        <v>12950.819410279617</v>
      </c>
      <c r="E1354" s="36">
        <f t="shared" si="758"/>
        <v>2121.0024611755739</v>
      </c>
      <c r="F1354" s="36">
        <f t="shared" si="758"/>
        <v>644.2093234816532</v>
      </c>
      <c r="G1354" s="36">
        <f t="shared" si="758"/>
        <v>1412.9668986945371</v>
      </c>
      <c r="H1354" s="36">
        <f t="shared" si="758"/>
        <v>764.72479963027035</v>
      </c>
      <c r="I1354" s="36">
        <f t="shared" si="758"/>
        <v>2212.8720116450031</v>
      </c>
      <c r="J1354" s="36">
        <f t="shared" si="758"/>
        <v>3657.7424008243165</v>
      </c>
      <c r="K1354" s="36">
        <f t="shared" si="758"/>
        <v>682.63089194702457</v>
      </c>
      <c r="L1354" s="37" t="s">
        <v>131</v>
      </c>
    </row>
    <row r="1355" spans="1:12" s="53" customFormat="1" ht="20.100000000000001" hidden="1" customHeight="1" thickBot="1" x14ac:dyDescent="0.3">
      <c r="A1355" s="327" t="s">
        <v>1130</v>
      </c>
      <c r="B1355" s="321" t="s">
        <v>204</v>
      </c>
      <c r="C1355" s="9">
        <v>12408.747324731183</v>
      </c>
      <c r="D1355" s="9">
        <v>9660.8804169230771</v>
      </c>
      <c r="E1355" s="9">
        <v>1361.1411483870968</v>
      </c>
      <c r="F1355" s="9">
        <v>733.28884623655915</v>
      </c>
      <c r="G1355" s="9" t="s">
        <v>131</v>
      </c>
      <c r="H1355" s="9">
        <v>727.717388172043</v>
      </c>
      <c r="I1355" s="9">
        <v>6573.011915053763</v>
      </c>
      <c r="J1355" s="9">
        <v>11113.174777419355</v>
      </c>
      <c r="K1355" s="9" t="s">
        <v>131</v>
      </c>
      <c r="L1355" s="20" t="s">
        <v>131</v>
      </c>
    </row>
    <row r="1356" spans="1:12" s="53" customFormat="1" ht="20.100000000000001" customHeight="1" x14ac:dyDescent="0.25">
      <c r="A1356" s="327"/>
      <c r="B1356" s="322"/>
      <c r="C1356" s="7">
        <f>C1355/12.79*19.53*1.039</f>
        <v>19686.802644787178</v>
      </c>
      <c r="D1356" s="7">
        <f>18096.23</f>
        <v>18096.23</v>
      </c>
      <c r="E1356" s="7">
        <f t="shared" ref="E1356:J1356" si="759">E1355/12.79*19.53*1.039</f>
        <v>2159.486083384832</v>
      </c>
      <c r="F1356" s="7">
        <f t="shared" si="759"/>
        <v>1163.3819611034403</v>
      </c>
      <c r="G1356" s="7" t="s">
        <v>131</v>
      </c>
      <c r="H1356" s="7">
        <f t="shared" si="759"/>
        <v>1154.5426969545738</v>
      </c>
      <c r="I1356" s="7">
        <f t="shared" si="759"/>
        <v>10428.255565781001</v>
      </c>
      <c r="J1356" s="7">
        <f t="shared" si="759"/>
        <v>17631.342864403206</v>
      </c>
      <c r="K1356" s="7" t="s">
        <v>131</v>
      </c>
      <c r="L1356" s="8" t="s">
        <v>131</v>
      </c>
    </row>
    <row r="1357" spans="1:12" s="53" customFormat="1" ht="20.100000000000001" customHeight="1" x14ac:dyDescent="0.25">
      <c r="A1357" s="327"/>
      <c r="B1357" s="322"/>
      <c r="C1357" s="35">
        <f>C1356*0.0214</f>
        <v>421.29757659844557</v>
      </c>
      <c r="D1357" s="35">
        <f t="shared" ref="D1357:J1357" si="760">D1356*0.0214</f>
        <v>387.259322</v>
      </c>
      <c r="E1357" s="35">
        <f t="shared" si="760"/>
        <v>46.213002184435403</v>
      </c>
      <c r="F1357" s="35">
        <f t="shared" si="760"/>
        <v>24.89637396761362</v>
      </c>
      <c r="G1357" s="35" t="s">
        <v>131</v>
      </c>
      <c r="H1357" s="35">
        <f t="shared" si="760"/>
        <v>24.707213714827876</v>
      </c>
      <c r="I1357" s="35">
        <f t="shared" si="760"/>
        <v>223.16466910771339</v>
      </c>
      <c r="J1357" s="35">
        <f t="shared" si="760"/>
        <v>377.31073729822862</v>
      </c>
      <c r="K1357" s="35" t="s">
        <v>131</v>
      </c>
      <c r="L1357" s="15" t="s">
        <v>131</v>
      </c>
    </row>
    <row r="1358" spans="1:12" s="53" customFormat="1" ht="20.100000000000001" hidden="1" customHeight="1" x14ac:dyDescent="0.25">
      <c r="A1358" s="327"/>
      <c r="B1358" s="322"/>
      <c r="C1358" s="16">
        <f>31716/244.2</f>
        <v>129.87714987714989</v>
      </c>
      <c r="D1358" s="16">
        <f>31145/244.2</f>
        <v>127.53890253890255</v>
      </c>
      <c r="E1358" s="16">
        <f>30173/244.2</f>
        <v>123.55855855855856</v>
      </c>
      <c r="F1358" s="16">
        <f>30272/2/244.2</f>
        <v>61.981981981981988</v>
      </c>
      <c r="G1358" s="16" t="s">
        <v>131</v>
      </c>
      <c r="H1358" s="16">
        <f>F1358</f>
        <v>61.981981981981988</v>
      </c>
      <c r="I1358" s="16">
        <f>30493/244.2</f>
        <v>124.86895986895988</v>
      </c>
      <c r="J1358" s="16">
        <f>29896/244.2</f>
        <v>122.42424242424244</v>
      </c>
      <c r="K1358" s="16" t="s">
        <v>131</v>
      </c>
      <c r="L1358" s="15" t="s">
        <v>131</v>
      </c>
    </row>
    <row r="1359" spans="1:12" s="53" customFormat="1" ht="20.100000000000001" hidden="1" customHeight="1" thickBot="1" x14ac:dyDescent="0.3">
      <c r="A1359" s="327"/>
      <c r="B1359" s="322"/>
      <c r="C1359" s="18">
        <f>(1/1628.1)*138458.88*1.2*P4</f>
        <v>126.40118253364754</v>
      </c>
      <c r="D1359" s="18">
        <f>(1/244.2)*48460.2*1.2*P4</f>
        <v>294.95172576490359</v>
      </c>
      <c r="E1359" s="18">
        <f>(1/1628.1)*92305.92*1.2*P4</f>
        <v>84.26745502243169</v>
      </c>
      <c r="F1359" s="19">
        <f>(1/1628.1)*69229.44*1.2*P4</f>
        <v>63.200591266823771</v>
      </c>
      <c r="G1359" s="24" t="s">
        <v>131</v>
      </c>
      <c r="H1359" s="65">
        <f>(1/1628.1)*69229.44*1.2*P4</f>
        <v>63.200591266823771</v>
      </c>
      <c r="I1359" s="19">
        <f>(1/1628.1)*91152.3*1.2*P4</f>
        <v>83.2142980693026</v>
      </c>
      <c r="J1359" s="19">
        <f>(1/1628.1)*113075.16*1.2*P4</f>
        <v>103.22800487178142</v>
      </c>
      <c r="K1359" s="35" t="s">
        <v>131</v>
      </c>
      <c r="L1359" s="34" t="s">
        <v>131</v>
      </c>
    </row>
    <row r="1360" spans="1:12" s="53" customFormat="1" ht="20.100000000000001" customHeight="1" thickBot="1" x14ac:dyDescent="0.3">
      <c r="A1360" s="327"/>
      <c r="B1360" s="323"/>
      <c r="C1360" s="18">
        <f>C1359+C1358</f>
        <v>256.27833241079742</v>
      </c>
      <c r="D1360" s="18">
        <f t="shared" ref="D1360:J1360" si="761">D1359+D1358</f>
        <v>422.49062830380615</v>
      </c>
      <c r="E1360" s="18">
        <f t="shared" si="761"/>
        <v>207.82601358099026</v>
      </c>
      <c r="F1360" s="18">
        <f t="shared" si="761"/>
        <v>125.18257324880577</v>
      </c>
      <c r="G1360" s="18" t="s">
        <v>131</v>
      </c>
      <c r="H1360" s="18">
        <f t="shared" si="761"/>
        <v>125.18257324880577</v>
      </c>
      <c r="I1360" s="18">
        <f t="shared" si="761"/>
        <v>208.08325793826248</v>
      </c>
      <c r="J1360" s="18">
        <f t="shared" si="761"/>
        <v>225.65224729602386</v>
      </c>
      <c r="K1360" s="10" t="s">
        <v>131</v>
      </c>
      <c r="L1360" s="34" t="s">
        <v>131</v>
      </c>
    </row>
    <row r="1361" spans="1:12" s="53" customFormat="1" ht="20.100000000000001" customHeight="1" thickBot="1" x14ac:dyDescent="0.3">
      <c r="A1361" s="328"/>
      <c r="B1361" s="259" t="s">
        <v>212</v>
      </c>
      <c r="C1361" s="36">
        <f>SUM(C1356:C1359)</f>
        <v>20364.378553796421</v>
      </c>
      <c r="D1361" s="36">
        <f t="shared" ref="D1361:J1361" si="762">SUM(D1356:D1359)</f>
        <v>18905.979950303805</v>
      </c>
      <c r="E1361" s="36">
        <f t="shared" si="762"/>
        <v>2413.5250991502576</v>
      </c>
      <c r="F1361" s="36">
        <f t="shared" si="762"/>
        <v>1313.4609083198598</v>
      </c>
      <c r="G1361" s="36" t="s">
        <v>131</v>
      </c>
      <c r="H1361" s="36">
        <f t="shared" si="762"/>
        <v>1304.4324839182075</v>
      </c>
      <c r="I1361" s="36">
        <f t="shared" si="762"/>
        <v>10859.503492826976</v>
      </c>
      <c r="J1361" s="36">
        <f t="shared" si="762"/>
        <v>18234.305848997461</v>
      </c>
      <c r="K1361" s="36" t="s">
        <v>131</v>
      </c>
      <c r="L1361" s="37" t="s">
        <v>131</v>
      </c>
    </row>
    <row r="1362" spans="1:12" s="51" customFormat="1" ht="20.100000000000001" hidden="1" customHeight="1" thickBot="1" x14ac:dyDescent="0.3">
      <c r="A1362" s="327" t="s">
        <v>1131</v>
      </c>
      <c r="B1362" s="321" t="s">
        <v>30</v>
      </c>
      <c r="C1362" s="9">
        <v>12772.28</v>
      </c>
      <c r="D1362" s="9">
        <v>9384.7686268907109</v>
      </c>
      <c r="E1362" s="9">
        <v>1383</v>
      </c>
      <c r="F1362" s="9">
        <v>425.38038907729771</v>
      </c>
      <c r="G1362" s="9" t="s">
        <v>131</v>
      </c>
      <c r="H1362" s="9">
        <v>606.92263591751043</v>
      </c>
      <c r="I1362" s="9">
        <v>3716.6712672554345</v>
      </c>
      <c r="J1362" s="9">
        <v>3908.9214806309633</v>
      </c>
      <c r="K1362" s="9" t="s">
        <v>131</v>
      </c>
      <c r="L1362" s="21" t="s">
        <v>131</v>
      </c>
    </row>
    <row r="1363" spans="1:12" s="51" customFormat="1" ht="20.100000000000001" customHeight="1" x14ac:dyDescent="0.25">
      <c r="A1363" s="327"/>
      <c r="B1363" s="322"/>
      <c r="C1363" s="7">
        <f>C1362/12.79*19.53*1.039</f>
        <v>20263.556755871778</v>
      </c>
      <c r="D1363" s="7">
        <f>18096.23</f>
        <v>18096.23</v>
      </c>
      <c r="E1363" s="7">
        <f t="shared" ref="E1363:J1363" si="763">E1362/12.79*19.53*1.039</f>
        <v>2194.1657240031277</v>
      </c>
      <c r="F1363" s="7">
        <f t="shared" si="763"/>
        <v>674.87712897796177</v>
      </c>
      <c r="G1363" s="7" t="s">
        <v>131</v>
      </c>
      <c r="H1363" s="7">
        <f t="shared" si="763"/>
        <v>962.89865860580687</v>
      </c>
      <c r="I1363" s="7">
        <f t="shared" si="763"/>
        <v>5896.5963138099369</v>
      </c>
      <c r="J1363" s="7">
        <f t="shared" si="763"/>
        <v>6201.6063128127362</v>
      </c>
      <c r="K1363" s="7" t="s">
        <v>131</v>
      </c>
      <c r="L1363" s="21" t="s">
        <v>131</v>
      </c>
    </row>
    <row r="1364" spans="1:12" s="51" customFormat="1" ht="20.100000000000001" hidden="1" customHeight="1" x14ac:dyDescent="0.25">
      <c r="A1364" s="327"/>
      <c r="B1364" s="322"/>
      <c r="C1364" s="35">
        <f>C1363*0.0214</f>
        <v>433.64011457565601</v>
      </c>
      <c r="D1364" s="35">
        <f t="shared" ref="D1364:J1364" si="764">D1363*0.0214</f>
        <v>387.259322</v>
      </c>
      <c r="E1364" s="35">
        <f t="shared" si="764"/>
        <v>46.95514649366693</v>
      </c>
      <c r="F1364" s="35">
        <f t="shared" si="764"/>
        <v>14.442370560128381</v>
      </c>
      <c r="G1364" s="35" t="s">
        <v>131</v>
      </c>
      <c r="H1364" s="35">
        <f t="shared" si="764"/>
        <v>20.606031294164264</v>
      </c>
      <c r="I1364" s="35">
        <f t="shared" si="764"/>
        <v>126.18716111553265</v>
      </c>
      <c r="J1364" s="35">
        <f t="shared" si="764"/>
        <v>132.71437509419255</v>
      </c>
      <c r="K1364" s="16" t="s">
        <v>131</v>
      </c>
      <c r="L1364" s="15" t="s">
        <v>131</v>
      </c>
    </row>
    <row r="1365" spans="1:12" s="51" customFormat="1" ht="20.100000000000001" hidden="1" customHeight="1" x14ac:dyDescent="0.25">
      <c r="A1365" s="327"/>
      <c r="B1365" s="322"/>
      <c r="C1365" s="16">
        <f>35680/736</f>
        <v>48.478260869565219</v>
      </c>
      <c r="D1365" s="16">
        <f>34084/405</f>
        <v>84.158024691358023</v>
      </c>
      <c r="E1365" s="16">
        <f>31530/736</f>
        <v>42.839673913043477</v>
      </c>
      <c r="F1365" s="16">
        <f>32798/2/736</f>
        <v>22.28125</v>
      </c>
      <c r="G1365" s="16" t="s">
        <v>131</v>
      </c>
      <c r="H1365" s="16">
        <f>F1365</f>
        <v>22.28125</v>
      </c>
      <c r="I1365" s="16">
        <f>34447/736</f>
        <v>46.802989130434781</v>
      </c>
      <c r="J1365" s="16">
        <f>30605/736</f>
        <v>41.582880434782609</v>
      </c>
      <c r="K1365" s="16" t="s">
        <v>131</v>
      </c>
      <c r="L1365" s="62" t="s">
        <v>131</v>
      </c>
    </row>
    <row r="1366" spans="1:12" s="51" customFormat="1" ht="20.100000000000001" customHeight="1" thickBot="1" x14ac:dyDescent="0.3">
      <c r="A1366" s="327"/>
      <c r="B1366" s="322"/>
      <c r="C1366" s="9">
        <f>(1/736)*86647.98*1.2*P4</f>
        <v>174.98145653315214</v>
      </c>
      <c r="D1366" s="9">
        <f>(1/736)*73651.14*1.2*P4</f>
        <v>148.73495899762582</v>
      </c>
      <c r="E1366" s="9">
        <f>(1/736)*57765.66*1.2*P4</f>
        <v>116.65499096919334</v>
      </c>
      <c r="F1366" s="9">
        <f>(1/736)*43324.5*1.2*P4</f>
        <v>87.491758187213946</v>
      </c>
      <c r="G1366" s="24" t="s">
        <v>131</v>
      </c>
      <c r="H1366" s="24">
        <f>(1/736)*43324.5*1.2*P4</f>
        <v>87.491758187213946</v>
      </c>
      <c r="I1366" s="24">
        <f>(1/736)*57043.5*1.2*P4</f>
        <v>115.1966233459668</v>
      </c>
      <c r="J1366" s="24">
        <f>(1/736)*70762.5*1.2*P4</f>
        <v>142.90148850471965</v>
      </c>
      <c r="K1366" s="9" t="s">
        <v>131</v>
      </c>
      <c r="L1366" s="20" t="s">
        <v>131</v>
      </c>
    </row>
    <row r="1367" spans="1:12" s="51" customFormat="1" ht="20.100000000000001" customHeight="1" thickBot="1" x14ac:dyDescent="0.3">
      <c r="A1367" s="327"/>
      <c r="B1367" s="323"/>
      <c r="C1367" s="18">
        <f>C1366+C1365</f>
        <v>223.45971740271736</v>
      </c>
      <c r="D1367" s="18">
        <f t="shared" ref="D1367:J1367" si="765">D1366+D1365</f>
        <v>232.89298368898386</v>
      </c>
      <c r="E1367" s="18">
        <f t="shared" si="765"/>
        <v>159.4946648822368</v>
      </c>
      <c r="F1367" s="18">
        <f t="shared" si="765"/>
        <v>109.77300818721395</v>
      </c>
      <c r="G1367" s="18" t="s">
        <v>131</v>
      </c>
      <c r="H1367" s="18">
        <f t="shared" si="765"/>
        <v>109.77300818721395</v>
      </c>
      <c r="I1367" s="18">
        <f t="shared" si="765"/>
        <v>161.99961247640158</v>
      </c>
      <c r="J1367" s="18">
        <f t="shared" si="765"/>
        <v>184.48436893950225</v>
      </c>
      <c r="K1367" s="18" t="s">
        <v>131</v>
      </c>
      <c r="L1367" s="34" t="s">
        <v>131</v>
      </c>
    </row>
    <row r="1368" spans="1:12" s="51" customFormat="1" ht="20.100000000000001" customHeight="1" thickBot="1" x14ac:dyDescent="0.3">
      <c r="A1368" s="328"/>
      <c r="B1368" s="265" t="s">
        <v>212</v>
      </c>
      <c r="C1368" s="18">
        <f>SUM(C1363:C1366)</f>
        <v>20920.65658785015</v>
      </c>
      <c r="D1368" s="18">
        <f t="shared" ref="D1368:J1368" si="766">SUM(D1363:D1366)</f>
        <v>18716.382305688985</v>
      </c>
      <c r="E1368" s="18">
        <f t="shared" si="766"/>
        <v>2400.6155353790318</v>
      </c>
      <c r="F1368" s="18">
        <f t="shared" si="766"/>
        <v>799.09250772530413</v>
      </c>
      <c r="G1368" s="18" t="s">
        <v>131</v>
      </c>
      <c r="H1368" s="18">
        <f t="shared" si="766"/>
        <v>1093.2776980871852</v>
      </c>
      <c r="I1368" s="18">
        <f t="shared" si="766"/>
        <v>6184.7830874018719</v>
      </c>
      <c r="J1368" s="18">
        <f t="shared" si="766"/>
        <v>6518.8050568464314</v>
      </c>
      <c r="K1368" s="18" t="s">
        <v>131</v>
      </c>
      <c r="L1368" s="34" t="s">
        <v>131</v>
      </c>
    </row>
    <row r="1369" spans="1:12" s="53" customFormat="1" ht="18" customHeight="1" thickBot="1" x14ac:dyDescent="0.3">
      <c r="A1369" s="311" t="s">
        <v>1132</v>
      </c>
      <c r="B1369" s="312"/>
      <c r="C1369" s="312"/>
      <c r="D1369" s="312"/>
      <c r="E1369" s="312"/>
      <c r="F1369" s="312"/>
      <c r="G1369" s="312"/>
      <c r="H1369" s="312"/>
      <c r="I1369" s="312"/>
      <c r="J1369" s="312"/>
      <c r="K1369" s="312"/>
      <c r="L1369" s="313"/>
    </row>
    <row r="1370" spans="1:12" s="51" customFormat="1" ht="20.100000000000001" hidden="1" customHeight="1" thickBot="1" x14ac:dyDescent="0.3">
      <c r="A1370" s="340" t="s">
        <v>1133</v>
      </c>
      <c r="B1370" s="321" t="s">
        <v>32</v>
      </c>
      <c r="C1370" s="9">
        <v>5154.8987501656493</v>
      </c>
      <c r="D1370" s="9">
        <v>8662.3147983923263</v>
      </c>
      <c r="E1370" s="135">
        <f>1065.19958793782*1.15</f>
        <v>1224.979526128493</v>
      </c>
      <c r="F1370" s="9">
        <f>471.672973955179*1.15</f>
        <v>542.42392004845578</v>
      </c>
      <c r="G1370" s="9" t="s">
        <v>131</v>
      </c>
      <c r="H1370" s="9">
        <f>528.60563775988*1.15</f>
        <v>607.89648342386192</v>
      </c>
      <c r="I1370" s="9">
        <f>3235.24820213523*1.15</f>
        <v>3720.5354324555142</v>
      </c>
      <c r="J1370" s="9">
        <v>3171.4252710962564</v>
      </c>
      <c r="K1370" s="9" t="s">
        <v>131</v>
      </c>
      <c r="L1370" s="136" t="s">
        <v>131</v>
      </c>
    </row>
    <row r="1371" spans="1:12" s="51" customFormat="1" ht="20.100000000000001" customHeight="1" x14ac:dyDescent="0.25">
      <c r="A1371" s="327"/>
      <c r="B1371" s="322"/>
      <c r="C1371" s="7">
        <v>23941.523180351487</v>
      </c>
      <c r="D1371" s="45">
        <f>D1370/12.79*19.53*1.039</f>
        <v>13742.989313924443</v>
      </c>
      <c r="E1371" s="45">
        <f t="shared" ref="E1371:J1371" si="767">E1370/12.79*19.53*1.039</f>
        <v>1943.4621032803566</v>
      </c>
      <c r="F1371" s="45">
        <f t="shared" si="767"/>
        <v>860.56975650740026</v>
      </c>
      <c r="G1371" s="45" t="s">
        <v>131</v>
      </c>
      <c r="H1371" s="45">
        <f t="shared" si="767"/>
        <v>964.4436931819763</v>
      </c>
      <c r="I1371" s="45">
        <f t="shared" si="767"/>
        <v>5902.7269131113835</v>
      </c>
      <c r="J1371" s="45">
        <f t="shared" si="767"/>
        <v>5031.5492596361046</v>
      </c>
      <c r="K1371" s="7" t="s">
        <v>131</v>
      </c>
      <c r="L1371" s="137" t="s">
        <v>131</v>
      </c>
    </row>
    <row r="1372" spans="1:12" s="51" customFormat="1" ht="18" customHeight="1" x14ac:dyDescent="0.25">
      <c r="A1372" s="327"/>
      <c r="B1372" s="322"/>
      <c r="C1372" s="138">
        <f>C1371*0.0214</f>
        <v>512.34859605952181</v>
      </c>
      <c r="D1372" s="138">
        <f t="shared" ref="D1372:J1372" si="768">D1371*0.0214</f>
        <v>294.09997131798309</v>
      </c>
      <c r="E1372" s="138">
        <f t="shared" si="768"/>
        <v>41.590089010199627</v>
      </c>
      <c r="F1372" s="138">
        <f t="shared" si="768"/>
        <v>18.416192789258364</v>
      </c>
      <c r="G1372" s="138" t="s">
        <v>131</v>
      </c>
      <c r="H1372" s="138">
        <f t="shared" si="768"/>
        <v>20.639095034094293</v>
      </c>
      <c r="I1372" s="138">
        <f t="shared" si="768"/>
        <v>126.3183559405836</v>
      </c>
      <c r="J1372" s="138">
        <f t="shared" si="768"/>
        <v>107.67515415621263</v>
      </c>
      <c r="K1372" s="10" t="s">
        <v>131</v>
      </c>
      <c r="L1372" s="140" t="s">
        <v>131</v>
      </c>
    </row>
    <row r="1373" spans="1:12" s="51" customFormat="1" ht="18" hidden="1" customHeight="1" x14ac:dyDescent="0.25">
      <c r="A1373" s="327"/>
      <c r="B1373" s="322"/>
      <c r="C1373" s="16">
        <f>37179/843</f>
        <v>44.103202846975087</v>
      </c>
      <c r="D1373" s="16">
        <f>35351/464</f>
        <v>76.1875</v>
      </c>
      <c r="E1373" s="16">
        <f>32425/843</f>
        <v>38.463819691577697</v>
      </c>
      <c r="F1373" s="16">
        <f>33878/2/843</f>
        <v>20.093712930011861</v>
      </c>
      <c r="G1373" s="139" t="s">
        <v>131</v>
      </c>
      <c r="H1373" s="16">
        <f>F1373</f>
        <v>20.093712930011861</v>
      </c>
      <c r="I1373" s="16">
        <f>35766/843</f>
        <v>42.427046263345197</v>
      </c>
      <c r="J1373" s="16">
        <f>31366/843</f>
        <v>37.207591933570583</v>
      </c>
      <c r="K1373" s="16" t="s">
        <v>131</v>
      </c>
      <c r="L1373" s="140" t="s">
        <v>131</v>
      </c>
    </row>
    <row r="1374" spans="1:12" s="51" customFormat="1" ht="18" hidden="1" customHeight="1" thickBot="1" x14ac:dyDescent="0.3">
      <c r="A1374" s="327"/>
      <c r="B1374" s="322"/>
      <c r="C1374" s="9">
        <f>(1/843)*88380.96*1.2*P4</f>
        <v>155.8269387537741</v>
      </c>
      <c r="D1374" s="9">
        <f>(1/843)*75124.02*1.2*P4</f>
        <v>132.45325761880503</v>
      </c>
      <c r="E1374" s="9">
        <f>(1/843)*58920.3*1.2*P4</f>
        <v>103.88402637235438</v>
      </c>
      <c r="F1374" s="9">
        <f>(1/843)*44190.48*1.2*P4</f>
        <v>77.913469376887051</v>
      </c>
      <c r="G1374" s="24" t="s">
        <v>131</v>
      </c>
      <c r="H1374" s="24">
        <f>(1/843)*44190.48*1.2*P4</f>
        <v>77.913469376887051</v>
      </c>
      <c r="I1374" s="24">
        <f>(1/843)*58183.86*1.2*P4</f>
        <v>102.58558844210526</v>
      </c>
      <c r="J1374" s="24">
        <f>(1/843)*72178.26*1.2*P4</f>
        <v>127.25950589780857</v>
      </c>
      <c r="K1374" s="9" t="s">
        <v>131</v>
      </c>
      <c r="L1374" s="141" t="s">
        <v>131</v>
      </c>
    </row>
    <row r="1375" spans="1:12" s="51" customFormat="1" ht="18" customHeight="1" thickBot="1" x14ac:dyDescent="0.3">
      <c r="A1375" s="327"/>
      <c r="B1375" s="323"/>
      <c r="C1375" s="18">
        <f>C1374+C1373</f>
        <v>199.93014160074918</v>
      </c>
      <c r="D1375" s="18">
        <f t="shared" ref="D1375:J1375" si="769">D1374+D1373</f>
        <v>208.64075761880503</v>
      </c>
      <c r="E1375" s="18">
        <f t="shared" si="769"/>
        <v>142.34784606393208</v>
      </c>
      <c r="F1375" s="18">
        <f t="shared" si="769"/>
        <v>98.007182306898912</v>
      </c>
      <c r="G1375" s="18" t="s">
        <v>131</v>
      </c>
      <c r="H1375" s="18">
        <f t="shared" si="769"/>
        <v>98.007182306898912</v>
      </c>
      <c r="I1375" s="18">
        <f t="shared" si="769"/>
        <v>145.01263470545047</v>
      </c>
      <c r="J1375" s="18">
        <f t="shared" si="769"/>
        <v>164.46709783137914</v>
      </c>
      <c r="K1375" s="64" t="s">
        <v>131</v>
      </c>
      <c r="L1375" s="142" t="s">
        <v>131</v>
      </c>
    </row>
    <row r="1376" spans="1:12" s="51" customFormat="1" ht="18" customHeight="1" thickBot="1" x14ac:dyDescent="0.3">
      <c r="A1376" s="328"/>
      <c r="B1376" s="265" t="s">
        <v>212</v>
      </c>
      <c r="C1376" s="18">
        <f>SUM(C1371:C1374)</f>
        <v>24653.801918011755</v>
      </c>
      <c r="D1376" s="18">
        <f t="shared" ref="D1376:J1376" si="770">SUM(D1371:D1374)</f>
        <v>14245.730042861231</v>
      </c>
      <c r="E1376" s="18">
        <f t="shared" si="770"/>
        <v>2127.4000383544885</v>
      </c>
      <c r="F1376" s="18">
        <f t="shared" si="770"/>
        <v>976.99313160355757</v>
      </c>
      <c r="G1376" s="18" t="s">
        <v>131</v>
      </c>
      <c r="H1376" s="18">
        <f t="shared" si="770"/>
        <v>1083.0899705229695</v>
      </c>
      <c r="I1376" s="18">
        <f t="shared" si="770"/>
        <v>6174.0579037574171</v>
      </c>
      <c r="J1376" s="18">
        <f t="shared" si="770"/>
        <v>5303.691511623696</v>
      </c>
      <c r="K1376" s="64" t="s">
        <v>131</v>
      </c>
      <c r="L1376" s="142" t="s">
        <v>131</v>
      </c>
    </row>
    <row r="1377" spans="1:12" s="53" customFormat="1" ht="18" customHeight="1" thickBot="1" x14ac:dyDescent="0.3">
      <c r="A1377" s="311" t="s">
        <v>1134</v>
      </c>
      <c r="B1377" s="312"/>
      <c r="C1377" s="312"/>
      <c r="D1377" s="312"/>
      <c r="E1377" s="312"/>
      <c r="F1377" s="312"/>
      <c r="G1377" s="312"/>
      <c r="H1377" s="312"/>
      <c r="I1377" s="312"/>
      <c r="J1377" s="312"/>
      <c r="K1377" s="312"/>
      <c r="L1377" s="313"/>
    </row>
    <row r="1378" spans="1:12" s="51" customFormat="1" ht="20.100000000000001" hidden="1" customHeight="1" thickBot="1" x14ac:dyDescent="0.3">
      <c r="A1378" s="327" t="s">
        <v>1135</v>
      </c>
      <c r="B1378" s="321" t="s">
        <v>120</v>
      </c>
      <c r="C1378" s="76">
        <v>6797.2065828123468</v>
      </c>
      <c r="D1378" s="76">
        <v>8358.3077623255795</v>
      </c>
      <c r="E1378" s="76">
        <v>1091.405658604079</v>
      </c>
      <c r="F1378" s="76">
        <v>625.56566004884019</v>
      </c>
      <c r="G1378" s="76">
        <v>1429.224953080115</v>
      </c>
      <c r="H1378" s="76">
        <v>482.10660191860495</v>
      </c>
      <c r="I1378" s="76">
        <v>3228.4620481966172</v>
      </c>
      <c r="J1378" s="76">
        <v>4794.3259180657324</v>
      </c>
      <c r="K1378" s="76">
        <v>1039.4124198284817</v>
      </c>
      <c r="L1378" s="136" t="s">
        <v>131</v>
      </c>
    </row>
    <row r="1379" spans="1:12" s="51" customFormat="1" ht="20.100000000000001" customHeight="1" x14ac:dyDescent="0.25">
      <c r="A1379" s="327"/>
      <c r="B1379" s="322"/>
      <c r="C1379" s="10">
        <v>10487.844452773361</v>
      </c>
      <c r="D1379" s="10">
        <f t="shared" ref="D1379:K1379" si="771">D1378/13.19*19.53*1.039</f>
        <v>12858.530922786134</v>
      </c>
      <c r="E1379" s="10">
        <f t="shared" si="771"/>
        <v>1679.0328628147561</v>
      </c>
      <c r="F1379" s="10">
        <f t="shared" si="771"/>
        <v>962.37846376370351</v>
      </c>
      <c r="G1379" s="10">
        <f t="shared" si="771"/>
        <v>2198.7385218853051</v>
      </c>
      <c r="H1379" s="10">
        <f t="shared" si="771"/>
        <v>741.67915625122816</v>
      </c>
      <c r="I1379" s="10">
        <f t="shared" si="771"/>
        <v>4966.7086042099963</v>
      </c>
      <c r="J1379" s="10">
        <f t="shared" si="771"/>
        <v>7375.6542381983991</v>
      </c>
      <c r="K1379" s="10">
        <f t="shared" si="771"/>
        <v>1599.045778397347</v>
      </c>
      <c r="L1379" s="26" t="s">
        <v>131</v>
      </c>
    </row>
    <row r="1380" spans="1:12" s="51" customFormat="1" ht="20.100000000000001" customHeight="1" x14ac:dyDescent="0.25">
      <c r="A1380" s="327"/>
      <c r="B1380" s="322"/>
      <c r="C1380" s="16">
        <f>C1379*0.0214</f>
        <v>224.43987128934992</v>
      </c>
      <c r="D1380" s="16">
        <f t="shared" ref="D1380:K1380" si="772">D1379*0.0214</f>
        <v>275.17256174762326</v>
      </c>
      <c r="E1380" s="16">
        <f t="shared" si="772"/>
        <v>35.93130326423578</v>
      </c>
      <c r="F1380" s="16">
        <f t="shared" si="772"/>
        <v>20.594899124543254</v>
      </c>
      <c r="G1380" s="16">
        <f t="shared" si="772"/>
        <v>47.053004368345526</v>
      </c>
      <c r="H1380" s="16">
        <f t="shared" si="772"/>
        <v>15.871933943776282</v>
      </c>
      <c r="I1380" s="16">
        <f t="shared" si="772"/>
        <v>106.28756413009391</v>
      </c>
      <c r="J1380" s="16">
        <f t="shared" si="772"/>
        <v>157.83900069744573</v>
      </c>
      <c r="K1380" s="16">
        <f t="shared" si="772"/>
        <v>34.219579657703221</v>
      </c>
      <c r="L1380" s="15" t="s">
        <v>131</v>
      </c>
    </row>
    <row r="1381" spans="1:12" s="51" customFormat="1" ht="20.100000000000001" hidden="1" customHeight="1" x14ac:dyDescent="0.25">
      <c r="A1381" s="327"/>
      <c r="B1381" s="322"/>
      <c r="C1381" s="35">
        <f>37283/939.9</f>
        <v>39.666985849558465</v>
      </c>
      <c r="D1381" s="35">
        <f>35429/314</f>
        <v>112.8312101910828</v>
      </c>
      <c r="E1381" s="35">
        <f>32692/939.9</f>
        <v>34.782423662091716</v>
      </c>
      <c r="F1381" s="35">
        <f>34312/2/939.9</f>
        <v>18.253005638897754</v>
      </c>
      <c r="G1381" s="35">
        <f>33891/939.9</f>
        <v>36.058091286307054</v>
      </c>
      <c r="H1381" s="35">
        <f>F1381</f>
        <v>18.253005638897754</v>
      </c>
      <c r="I1381" s="35">
        <f>36418/939.9</f>
        <v>38.746675178210452</v>
      </c>
      <c r="J1381" s="35">
        <f>31385/939.9</f>
        <v>33.391850196829452</v>
      </c>
      <c r="K1381" s="35">
        <f>J1381</f>
        <v>33.391850196829452</v>
      </c>
      <c r="L1381" s="62" t="s">
        <v>131</v>
      </c>
    </row>
    <row r="1382" spans="1:12" s="51" customFormat="1" ht="20.100000000000001" hidden="1" customHeight="1" thickBot="1" x14ac:dyDescent="0.3">
      <c r="A1382" s="327"/>
      <c r="B1382" s="322"/>
      <c r="C1382" s="67">
        <f>(1/939.9)*127315.38*1.2*P4</f>
        <v>201.33098579958673</v>
      </c>
      <c r="D1382" s="67">
        <f>(1/314)*44560.74*1.2*P4</f>
        <v>210.92795655628558</v>
      </c>
      <c r="E1382" s="67">
        <f>(1/939.9)*84877.26*1.2*P4</f>
        <v>134.22119486088667</v>
      </c>
      <c r="F1382" s="67">
        <f>(1/939.9)*63658.2*1.2*P4</f>
        <v>100.66629939153661</v>
      </c>
      <c r="G1382" s="68">
        <f>(1/939.9)*63658.2*1.2*P4</f>
        <v>100.66629939153661</v>
      </c>
      <c r="H1382" s="68">
        <f>(1/939.9)*63658.2*1.2*P4</f>
        <v>100.66629939153661</v>
      </c>
      <c r="I1382" s="68">
        <f>(1/939.9)*83816.46*1.2*P4</f>
        <v>132.54369203494213</v>
      </c>
      <c r="J1382" s="68">
        <f>(1/939.9)*103974.72*1.2*P4</f>
        <v>164.42108467834765</v>
      </c>
      <c r="K1382" s="67">
        <f>(1/939.9)*44560.74*1.2*P4</f>
        <v>70.466409574075627</v>
      </c>
      <c r="L1382" s="34" t="s">
        <v>131</v>
      </c>
    </row>
    <row r="1383" spans="1:12" s="51" customFormat="1" ht="20.100000000000001" customHeight="1" thickBot="1" x14ac:dyDescent="0.3">
      <c r="A1383" s="327"/>
      <c r="B1383" s="323"/>
      <c r="C1383" s="18">
        <f>C1382+C1381</f>
        <v>240.9979716491452</v>
      </c>
      <c r="D1383" s="18">
        <f t="shared" ref="D1383:K1383" si="773">D1382+D1381</f>
        <v>323.7591667473684</v>
      </c>
      <c r="E1383" s="18">
        <f t="shared" si="773"/>
        <v>169.0036185229784</v>
      </c>
      <c r="F1383" s="18">
        <f t="shared" si="773"/>
        <v>118.91930503043437</v>
      </c>
      <c r="G1383" s="18">
        <f t="shared" si="773"/>
        <v>136.72439067784367</v>
      </c>
      <c r="H1383" s="18">
        <f t="shared" si="773"/>
        <v>118.91930503043437</v>
      </c>
      <c r="I1383" s="18">
        <f t="shared" si="773"/>
        <v>171.29036721315259</v>
      </c>
      <c r="J1383" s="18">
        <f t="shared" si="773"/>
        <v>197.81293487517712</v>
      </c>
      <c r="K1383" s="18">
        <f t="shared" si="773"/>
        <v>103.85825977090508</v>
      </c>
      <c r="L1383" s="34" t="s">
        <v>131</v>
      </c>
    </row>
    <row r="1384" spans="1:12" s="51" customFormat="1" ht="20.100000000000001" customHeight="1" thickBot="1" x14ac:dyDescent="0.3">
      <c r="A1384" s="328"/>
      <c r="B1384" s="265" t="s">
        <v>212</v>
      </c>
      <c r="C1384" s="260">
        <f>SUM(C1379:C1382)</f>
        <v>10953.282295711857</v>
      </c>
      <c r="D1384" s="260">
        <f t="shared" ref="D1384:K1384" si="774">SUM(D1379:D1382)</f>
        <v>13457.462651281126</v>
      </c>
      <c r="E1384" s="260">
        <f t="shared" si="774"/>
        <v>1883.9677846019704</v>
      </c>
      <c r="F1384" s="260">
        <f t="shared" si="774"/>
        <v>1101.8926679186811</v>
      </c>
      <c r="G1384" s="260">
        <f t="shared" si="774"/>
        <v>2382.5159169314943</v>
      </c>
      <c r="H1384" s="260">
        <f t="shared" si="774"/>
        <v>876.47039522543889</v>
      </c>
      <c r="I1384" s="260">
        <f t="shared" si="774"/>
        <v>5244.2865355532431</v>
      </c>
      <c r="J1384" s="260">
        <f t="shared" si="774"/>
        <v>7731.3061737710223</v>
      </c>
      <c r="K1384" s="260">
        <f t="shared" si="774"/>
        <v>1737.1236178259553</v>
      </c>
      <c r="L1384" s="131" t="s">
        <v>131</v>
      </c>
    </row>
    <row r="1385" spans="1:12" s="51" customFormat="1" ht="20.100000000000001" hidden="1" customHeight="1" x14ac:dyDescent="0.25">
      <c r="A1385" s="327" t="s">
        <v>1136</v>
      </c>
      <c r="B1385" s="321" t="s">
        <v>121</v>
      </c>
      <c r="C1385" s="23">
        <v>5506.5856596993181</v>
      </c>
      <c r="D1385" s="16">
        <v>7419.9429151832464</v>
      </c>
      <c r="E1385" s="23">
        <v>737.06749584072679</v>
      </c>
      <c r="F1385" s="23">
        <v>512.97100598265615</v>
      </c>
      <c r="G1385" s="23">
        <v>1195.0240483756436</v>
      </c>
      <c r="H1385" s="23">
        <v>604.2454680570662</v>
      </c>
      <c r="I1385" s="23">
        <v>1898.8874382211966</v>
      </c>
      <c r="J1385" s="23">
        <v>2415.8913685475782</v>
      </c>
      <c r="K1385" s="23">
        <v>536.28230755383106</v>
      </c>
      <c r="L1385" s="21" t="s">
        <v>131</v>
      </c>
    </row>
    <row r="1386" spans="1:12" s="51" customFormat="1" ht="20.100000000000001" customHeight="1" x14ac:dyDescent="0.25">
      <c r="A1386" s="327"/>
      <c r="B1386" s="322"/>
      <c r="C1386" s="16">
        <v>10487.844452773361</v>
      </c>
      <c r="D1386" s="16">
        <v>13937.60894204125</v>
      </c>
      <c r="E1386" s="16">
        <f t="shared" ref="E1386:K1386" si="775">E1385/13.19*19.53*1.039</f>
        <v>1133.9143588571949</v>
      </c>
      <c r="F1386" s="16">
        <f t="shared" si="775"/>
        <v>789.16136262077976</v>
      </c>
      <c r="G1386" s="16">
        <f t="shared" si="775"/>
        <v>1838.4407605536462</v>
      </c>
      <c r="H1386" s="16">
        <f t="shared" si="775"/>
        <v>929.57919915159425</v>
      </c>
      <c r="I1386" s="16">
        <f t="shared" si="775"/>
        <v>2921.2734847255424</v>
      </c>
      <c r="J1386" s="16">
        <f t="shared" si="775"/>
        <v>3716.6391513582894</v>
      </c>
      <c r="K1386" s="16">
        <f t="shared" si="775"/>
        <v>825.02377647618255</v>
      </c>
      <c r="L1386" s="15" t="s">
        <v>131</v>
      </c>
    </row>
    <row r="1387" spans="1:12" s="51" customFormat="1" ht="18" customHeight="1" x14ac:dyDescent="0.25">
      <c r="A1387" s="327"/>
      <c r="B1387" s="322"/>
      <c r="C1387" s="35">
        <f>C1386*0.0214</f>
        <v>224.43987128934992</v>
      </c>
      <c r="D1387" s="16">
        <f t="shared" ref="D1387:K1387" si="776">D1386*0.0214</f>
        <v>298.26483135968272</v>
      </c>
      <c r="E1387" s="35">
        <f t="shared" si="776"/>
        <v>24.265767279543969</v>
      </c>
      <c r="F1387" s="35">
        <f t="shared" si="776"/>
        <v>16.888053160084684</v>
      </c>
      <c r="G1387" s="35">
        <f t="shared" si="776"/>
        <v>39.342632275848025</v>
      </c>
      <c r="H1387" s="35">
        <f t="shared" si="776"/>
        <v>19.892994861844116</v>
      </c>
      <c r="I1387" s="35">
        <f t="shared" si="776"/>
        <v>62.515252573126602</v>
      </c>
      <c r="J1387" s="35">
        <f t="shared" si="776"/>
        <v>79.536077839067389</v>
      </c>
      <c r="K1387" s="35">
        <f t="shared" si="776"/>
        <v>17.655508816590306</v>
      </c>
      <c r="L1387" s="15" t="s">
        <v>131</v>
      </c>
    </row>
    <row r="1388" spans="1:12" s="51" customFormat="1" ht="18" hidden="1" customHeight="1" x14ac:dyDescent="0.25">
      <c r="A1388" s="327"/>
      <c r="B1388" s="322"/>
      <c r="C1388" s="16">
        <f>37855/1126.6</f>
        <v>33.601100656843606</v>
      </c>
      <c r="D1388" s="16">
        <f>35853/290</f>
        <v>123.63103448275862</v>
      </c>
      <c r="E1388" s="16">
        <f>33207/1126.6</f>
        <v>29.475412746316351</v>
      </c>
      <c r="F1388" s="16">
        <f>37168/2/1126.6</f>
        <v>16.495650630214808</v>
      </c>
      <c r="G1388" s="16">
        <f>35148/1126.6</f>
        <v>31.198295757145395</v>
      </c>
      <c r="H1388" s="16">
        <f>F1388</f>
        <v>16.495650630214808</v>
      </c>
      <c r="I1388" s="16">
        <f>37673/1126.6</f>
        <v>33.439552636250667</v>
      </c>
      <c r="J1388" s="16">
        <f>31487/1126.6</f>
        <v>27.948695189064445</v>
      </c>
      <c r="K1388" s="16">
        <f>J1388</f>
        <v>27.948695189064445</v>
      </c>
      <c r="L1388" s="15" t="s">
        <v>131</v>
      </c>
    </row>
    <row r="1389" spans="1:12" s="51" customFormat="1" ht="18" hidden="1" customHeight="1" thickBot="1" x14ac:dyDescent="0.3">
      <c r="A1389" s="327"/>
      <c r="B1389" s="322"/>
      <c r="C1389" s="18">
        <f>(1/1126.6)*184310.94*1.2*P4</f>
        <v>243.16035354717965</v>
      </c>
      <c r="D1389" s="18">
        <f>(1/290)*64508.88*1.2*P4</f>
        <v>330.62287865292188</v>
      </c>
      <c r="E1389" s="18">
        <f>(1/1126.6)*122874.3*1.2*P4</f>
        <v>162.10735092481335</v>
      </c>
      <c r="F1389" s="18">
        <f>(1/1126.6)*92155.98*1.2*P4</f>
        <v>121.58084961363018</v>
      </c>
      <c r="G1389" s="19">
        <f>(1/1126.6)*92155.98*1.2*P4</f>
        <v>121.58084961363018</v>
      </c>
      <c r="H1389" s="19">
        <f>(1/1126.6)*92155.98*1.2*P4</f>
        <v>121.58084961363018</v>
      </c>
      <c r="I1389" s="19">
        <f>(1/1126.6)*121338.18*1.2*P4</f>
        <v>160.08075672323801</v>
      </c>
      <c r="J1389" s="19">
        <f>(1/1126.6)*150520.38*1.2*P4</f>
        <v>198.58066383284594</v>
      </c>
      <c r="K1389" s="18">
        <f>(1/1126.6)*64508.88*1.2*P4</f>
        <v>85.106191025516907</v>
      </c>
      <c r="L1389" s="130" t="s">
        <v>131</v>
      </c>
    </row>
    <row r="1390" spans="1:12" s="51" customFormat="1" ht="18" customHeight="1" thickBot="1" x14ac:dyDescent="0.3">
      <c r="A1390" s="327"/>
      <c r="B1390" s="323"/>
      <c r="C1390" s="18">
        <f>C1389+C1388</f>
        <v>276.76145420402327</v>
      </c>
      <c r="D1390" s="18">
        <f t="shared" ref="D1390:K1390" si="777">D1389+D1388</f>
        <v>454.25391313568048</v>
      </c>
      <c r="E1390" s="18">
        <f t="shared" si="777"/>
        <v>191.5827636711297</v>
      </c>
      <c r="F1390" s="18">
        <f t="shared" si="777"/>
        <v>138.07650024384498</v>
      </c>
      <c r="G1390" s="18">
        <f t="shared" si="777"/>
        <v>152.77914537077558</v>
      </c>
      <c r="H1390" s="18">
        <f t="shared" si="777"/>
        <v>138.07650024384498</v>
      </c>
      <c r="I1390" s="18">
        <f t="shared" si="777"/>
        <v>193.52030935948869</v>
      </c>
      <c r="J1390" s="18">
        <f t="shared" si="777"/>
        <v>226.52935902191038</v>
      </c>
      <c r="K1390" s="18">
        <f t="shared" si="777"/>
        <v>113.05488621458136</v>
      </c>
      <c r="L1390" s="130" t="s">
        <v>131</v>
      </c>
    </row>
    <row r="1391" spans="1:12" s="51" customFormat="1" ht="18" customHeight="1" thickBot="1" x14ac:dyDescent="0.3">
      <c r="A1391" s="328"/>
      <c r="B1391" s="265" t="s">
        <v>212</v>
      </c>
      <c r="C1391" s="36">
        <f>SUM(C1386:C1389)</f>
        <v>10989.045778266736</v>
      </c>
      <c r="D1391" s="36">
        <f t="shared" ref="D1391:K1391" si="778">SUM(D1386:D1389)</f>
        <v>14690.127686536613</v>
      </c>
      <c r="E1391" s="36">
        <f t="shared" si="778"/>
        <v>1349.7628898078685</v>
      </c>
      <c r="F1391" s="36">
        <f t="shared" si="778"/>
        <v>944.12591602470945</v>
      </c>
      <c r="G1391" s="36">
        <f t="shared" si="778"/>
        <v>2030.5625382002697</v>
      </c>
      <c r="H1391" s="36">
        <f t="shared" si="778"/>
        <v>1087.5486942572834</v>
      </c>
      <c r="I1391" s="36">
        <f t="shared" si="778"/>
        <v>3177.3090466581575</v>
      </c>
      <c r="J1391" s="36">
        <f t="shared" si="778"/>
        <v>4022.704588219267</v>
      </c>
      <c r="K1391" s="36">
        <f t="shared" si="778"/>
        <v>955.73417150735418</v>
      </c>
      <c r="L1391" s="131" t="s">
        <v>131</v>
      </c>
    </row>
    <row r="1392" spans="1:12" s="51" customFormat="1" ht="20.100000000000001" hidden="1" customHeight="1" thickBot="1" x14ac:dyDescent="0.3">
      <c r="A1392" s="327" t="s">
        <v>1137</v>
      </c>
      <c r="B1392" s="321" t="s">
        <v>122</v>
      </c>
      <c r="C1392" s="9">
        <v>5329.2877241442102</v>
      </c>
      <c r="D1392" s="9">
        <v>9059.7305172774886</v>
      </c>
      <c r="E1392" s="9">
        <v>612.2616405680991</v>
      </c>
      <c r="F1392" s="9">
        <v>422.22648561544071</v>
      </c>
      <c r="G1392" s="9">
        <v>1006.730647123088</v>
      </c>
      <c r="H1392" s="9">
        <v>501.51849490167524</v>
      </c>
      <c r="I1392" s="9">
        <v>1508.5198108157319</v>
      </c>
      <c r="J1392" s="9">
        <v>2209.6308976693372</v>
      </c>
      <c r="K1392" s="9">
        <v>790.98999453750923</v>
      </c>
      <c r="L1392" s="126" t="s">
        <v>131</v>
      </c>
    </row>
    <row r="1393" spans="1:12" s="51" customFormat="1" ht="20.100000000000001" customHeight="1" x14ac:dyDescent="0.25">
      <c r="A1393" s="327"/>
      <c r="B1393" s="322"/>
      <c r="C1393" s="10">
        <v>10487.844452773361</v>
      </c>
      <c r="D1393" s="10">
        <f t="shared" ref="D1393:K1393" si="779">D1392/13.19*19.53*1.039</f>
        <v>13937.60894204125</v>
      </c>
      <c r="E1393" s="10">
        <f t="shared" si="779"/>
        <v>941.91138469040789</v>
      </c>
      <c r="F1393" s="10">
        <f t="shared" si="779"/>
        <v>649.55879540320473</v>
      </c>
      <c r="G1393" s="10">
        <f t="shared" si="779"/>
        <v>1548.7677081355687</v>
      </c>
      <c r="H1393" s="10">
        <f t="shared" si="779"/>
        <v>771.54266849442581</v>
      </c>
      <c r="I1393" s="10">
        <f t="shared" si="779"/>
        <v>2320.7267770686321</v>
      </c>
      <c r="J1393" s="10">
        <f t="shared" si="779"/>
        <v>3399.3253220098532</v>
      </c>
      <c r="K1393" s="10">
        <f t="shared" si="779"/>
        <v>1216.8694421877894</v>
      </c>
      <c r="L1393" s="127" t="s">
        <v>131</v>
      </c>
    </row>
    <row r="1394" spans="1:12" s="51" customFormat="1" ht="18" customHeight="1" x14ac:dyDescent="0.25">
      <c r="A1394" s="327"/>
      <c r="B1394" s="322"/>
      <c r="C1394" s="16">
        <f>C1393*0.0214</f>
        <v>224.43987128934992</v>
      </c>
      <c r="D1394" s="16">
        <f t="shared" ref="D1394:K1394" si="780">D1393*0.0214</f>
        <v>298.26483135968272</v>
      </c>
      <c r="E1394" s="16">
        <f t="shared" si="780"/>
        <v>20.156903632374728</v>
      </c>
      <c r="F1394" s="16">
        <f t="shared" si="780"/>
        <v>13.900558221628581</v>
      </c>
      <c r="G1394" s="16">
        <f t="shared" si="780"/>
        <v>33.143628954101167</v>
      </c>
      <c r="H1394" s="16">
        <f t="shared" si="780"/>
        <v>16.511013105780712</v>
      </c>
      <c r="I1394" s="16">
        <f t="shared" si="780"/>
        <v>49.663553029268726</v>
      </c>
      <c r="J1394" s="16">
        <f t="shared" si="780"/>
        <v>72.745561891010851</v>
      </c>
      <c r="K1394" s="16">
        <f t="shared" si="780"/>
        <v>26.041006062818692</v>
      </c>
      <c r="L1394" s="128" t="s">
        <v>131</v>
      </c>
    </row>
    <row r="1395" spans="1:12" s="51" customFormat="1" ht="18" hidden="1" customHeight="1" x14ac:dyDescent="0.25">
      <c r="A1395" s="327"/>
      <c r="B1395" s="322"/>
      <c r="C1395" s="16">
        <f>39573/1647.6</f>
        <v>24.018572469045885</v>
      </c>
      <c r="D1395" s="16">
        <f>37127/330</f>
        <v>112.5060606060606</v>
      </c>
      <c r="E1395" s="16">
        <f>34643/1647.6</f>
        <v>21.026341344986648</v>
      </c>
      <c r="F1395" s="16">
        <f>40436/2/1647.6</f>
        <v>12.271182325807235</v>
      </c>
      <c r="G1395" s="16">
        <f>37483/1647.6</f>
        <v>22.75006069434329</v>
      </c>
      <c r="H1395" s="16">
        <f>F1395</f>
        <v>12.271182325807235</v>
      </c>
      <c r="I1395" s="16">
        <f>48558/1647.6</f>
        <v>29.471959213401313</v>
      </c>
      <c r="J1395" s="16">
        <f>31794/1647.6</f>
        <v>19.297159504734161</v>
      </c>
      <c r="K1395" s="16">
        <f>J1395</f>
        <v>19.297159504734161</v>
      </c>
      <c r="L1395" s="128" t="s">
        <v>131</v>
      </c>
    </row>
    <row r="1396" spans="1:12" s="51" customFormat="1" ht="18" hidden="1" customHeight="1" thickBot="1" x14ac:dyDescent="0.3">
      <c r="A1396" s="327"/>
      <c r="B1396" s="322"/>
      <c r="C1396" s="67">
        <f>(1/1647.6)*255023.46*1.2*P4</f>
        <v>230.0592763595277</v>
      </c>
      <c r="D1396" s="67">
        <f>(1/330)*89258.16*1.2*P4</f>
        <v>402.0178984949282</v>
      </c>
      <c r="E1396" s="67">
        <f>(1/1647.6)*170015.64*1.2*P4</f>
        <v>153.3728509063518</v>
      </c>
      <c r="F1396" s="67">
        <f>(1/1647.6)*127511.22*1.2*P4</f>
        <v>115.02917810353814</v>
      </c>
      <c r="G1396" s="68">
        <f>(1/1647.6)*127511.22*1.2*P4</f>
        <v>115.02917810353814</v>
      </c>
      <c r="H1396" s="68">
        <f>(1/1647.6)*127511.22*1.2*P4</f>
        <v>115.02917810353814</v>
      </c>
      <c r="I1396" s="68">
        <f>(1/1647.6)*167889.96*1.2*P4</f>
        <v>151.45525319760796</v>
      </c>
      <c r="J1396" s="68">
        <f>(1/1647.6)*208268.7*1.2*P4</f>
        <v>187.88132829167785</v>
      </c>
      <c r="K1396" s="67">
        <f>(1/1647.6)*89258.16*1.2*P4</f>
        <v>80.520700718212126</v>
      </c>
      <c r="L1396" s="130" t="s">
        <v>131</v>
      </c>
    </row>
    <row r="1397" spans="1:12" s="51" customFormat="1" ht="18" customHeight="1" thickBot="1" x14ac:dyDescent="0.3">
      <c r="A1397" s="327"/>
      <c r="B1397" s="323"/>
      <c r="C1397" s="18">
        <f>C1396+C1395</f>
        <v>254.07784882857359</v>
      </c>
      <c r="D1397" s="18">
        <f t="shared" ref="D1397:K1397" si="781">D1396+D1395</f>
        <v>514.5239591009888</v>
      </c>
      <c r="E1397" s="18">
        <f t="shared" si="781"/>
        <v>174.39919225133843</v>
      </c>
      <c r="F1397" s="18">
        <f t="shared" si="781"/>
        <v>127.30036042934537</v>
      </c>
      <c r="G1397" s="18">
        <f t="shared" si="781"/>
        <v>137.77923879788142</v>
      </c>
      <c r="H1397" s="18">
        <f t="shared" si="781"/>
        <v>127.30036042934537</v>
      </c>
      <c r="I1397" s="18">
        <f t="shared" si="781"/>
        <v>180.92721241100926</v>
      </c>
      <c r="J1397" s="18">
        <f t="shared" si="781"/>
        <v>207.17848779641201</v>
      </c>
      <c r="K1397" s="18">
        <f t="shared" si="781"/>
        <v>99.81786022294628</v>
      </c>
      <c r="L1397" s="130"/>
    </row>
    <row r="1398" spans="1:12" s="51" customFormat="1" ht="18" customHeight="1" thickBot="1" x14ac:dyDescent="0.3">
      <c r="A1398" s="328"/>
      <c r="B1398" s="265" t="s">
        <v>212</v>
      </c>
      <c r="C1398" s="18">
        <f>SUM(C1393:C1396)</f>
        <v>10966.362172891284</v>
      </c>
      <c r="D1398" s="18">
        <f t="shared" ref="D1398:K1398" si="782">SUM(D1393:D1396)</f>
        <v>14750.39773250192</v>
      </c>
      <c r="E1398" s="18">
        <f t="shared" si="782"/>
        <v>1136.4674805741211</v>
      </c>
      <c r="F1398" s="18">
        <f t="shared" si="782"/>
        <v>790.75971405417863</v>
      </c>
      <c r="G1398" s="18">
        <f t="shared" si="782"/>
        <v>1719.6905758875514</v>
      </c>
      <c r="H1398" s="18">
        <f t="shared" si="782"/>
        <v>915.35404202955192</v>
      </c>
      <c r="I1398" s="18">
        <f t="shared" si="782"/>
        <v>2551.3175425089103</v>
      </c>
      <c r="J1398" s="18">
        <f t="shared" si="782"/>
        <v>3679.2493716972758</v>
      </c>
      <c r="K1398" s="18">
        <f t="shared" si="782"/>
        <v>1342.7283084735543</v>
      </c>
      <c r="L1398" s="130" t="s">
        <v>131</v>
      </c>
    </row>
    <row r="1399" spans="1:12" s="51" customFormat="1" ht="18" hidden="1" customHeight="1" thickBot="1" x14ac:dyDescent="0.3">
      <c r="A1399" s="327" t="s">
        <v>1138</v>
      </c>
      <c r="B1399" s="321" t="s">
        <v>205</v>
      </c>
      <c r="C1399" s="9">
        <v>4579.9904218342399</v>
      </c>
      <c r="D1399" s="9">
        <v>9050.2013989528823</v>
      </c>
      <c r="E1399" s="9">
        <v>569.1796985751555</v>
      </c>
      <c r="F1399" s="9">
        <v>395.5382562713225</v>
      </c>
      <c r="G1399" s="9">
        <v>913.60298836042534</v>
      </c>
      <c r="H1399" s="9">
        <v>460.16214810355206</v>
      </c>
      <c r="I1399" s="9">
        <v>1452.4778846076661</v>
      </c>
      <c r="J1399" s="9">
        <v>2550.5928053381504</v>
      </c>
      <c r="K1399" s="9">
        <v>430.74997431266303</v>
      </c>
      <c r="L1399" s="20" t="s">
        <v>131</v>
      </c>
    </row>
    <row r="1400" spans="1:12" s="51" customFormat="1" ht="18" customHeight="1" x14ac:dyDescent="0.25">
      <c r="A1400" s="327"/>
      <c r="B1400" s="322"/>
      <c r="C1400" s="7">
        <v>10487.844452773361</v>
      </c>
      <c r="D1400" s="7">
        <f t="shared" ref="D1400:K1400" si="783">D1399/14.06*19.53*1.039</f>
        <v>13061.429603206987</v>
      </c>
      <c r="E1400" s="7">
        <f t="shared" si="783"/>
        <v>821.45139503460348</v>
      </c>
      <c r="F1400" s="7">
        <f t="shared" si="783"/>
        <v>570.84863219296631</v>
      </c>
      <c r="G1400" s="7">
        <f t="shared" si="783"/>
        <v>1318.5298969291316</v>
      </c>
      <c r="H1400" s="7">
        <f t="shared" si="783"/>
        <v>664.1151106549363</v>
      </c>
      <c r="I1400" s="7">
        <f t="shared" si="783"/>
        <v>2096.2448020452939</v>
      </c>
      <c r="J1400" s="7">
        <f t="shared" si="783"/>
        <v>3681.0659680153612</v>
      </c>
      <c r="K1400" s="7">
        <f t="shared" si="783"/>
        <v>621.66687989054299</v>
      </c>
      <c r="L1400" s="8" t="s">
        <v>131</v>
      </c>
    </row>
    <row r="1401" spans="1:12" s="51" customFormat="1" ht="18" customHeight="1" x14ac:dyDescent="0.25">
      <c r="A1401" s="327"/>
      <c r="B1401" s="322"/>
      <c r="C1401" s="35">
        <f>C1400*0.0214</f>
        <v>224.43987128934992</v>
      </c>
      <c r="D1401" s="35">
        <f t="shared" ref="D1401:K1401" si="784">D1400*0.0214</f>
        <v>279.5145935086295</v>
      </c>
      <c r="E1401" s="35">
        <f t="shared" si="784"/>
        <v>17.579059853740514</v>
      </c>
      <c r="F1401" s="35">
        <f t="shared" si="784"/>
        <v>12.216160728929479</v>
      </c>
      <c r="G1401" s="35">
        <f t="shared" si="784"/>
        <v>28.216539794283413</v>
      </c>
      <c r="H1401" s="35">
        <f t="shared" si="784"/>
        <v>14.212063368015636</v>
      </c>
      <c r="I1401" s="35">
        <f t="shared" si="784"/>
        <v>44.85963876376929</v>
      </c>
      <c r="J1401" s="35">
        <f t="shared" si="784"/>
        <v>78.774811715528728</v>
      </c>
      <c r="K1401" s="35">
        <f t="shared" si="784"/>
        <v>13.303671229657619</v>
      </c>
      <c r="L1401" s="15" t="s">
        <v>131</v>
      </c>
    </row>
    <row r="1402" spans="1:12" s="51" customFormat="1" ht="18" hidden="1" customHeight="1" x14ac:dyDescent="0.25">
      <c r="A1402" s="327"/>
      <c r="B1402" s="322"/>
      <c r="C1402" s="16">
        <f>42395/1634.9</f>
        <v>25.931249617713622</v>
      </c>
      <c r="D1402" s="16">
        <f>39169/600</f>
        <v>65.281666666666666</v>
      </c>
      <c r="E1402" s="16">
        <f>34408/1634.9</f>
        <v>21.045935531225151</v>
      </c>
      <c r="F1402" s="16">
        <f>40157/2/1634.9</f>
        <v>12.28117927702</v>
      </c>
      <c r="G1402" s="16">
        <f>37226/1634.9</f>
        <v>22.769588354027768</v>
      </c>
      <c r="H1402" s="16">
        <f>F1402</f>
        <v>12.28117927702</v>
      </c>
      <c r="I1402" s="16">
        <f>48215/1634.9</f>
        <v>29.491100373111504</v>
      </c>
      <c r="J1402" s="16">
        <f>32135/1634.9</f>
        <v>19.655636430362712</v>
      </c>
      <c r="K1402" s="16">
        <f>J1402</f>
        <v>19.655636430362712</v>
      </c>
      <c r="L1402" s="15" t="s">
        <v>131</v>
      </c>
    </row>
    <row r="1403" spans="1:12" s="51" customFormat="1" ht="18" hidden="1" customHeight="1" thickBot="1" x14ac:dyDescent="0.3">
      <c r="A1403" s="327"/>
      <c r="B1403" s="322"/>
      <c r="C1403" s="18">
        <f>(1/1494.9)*136301.58*1.2*P4</f>
        <v>135.51898719617222</v>
      </c>
      <c r="D1403" s="18">
        <f>(1/600)*47705.4*1.2*P4</f>
        <v>118.17556579894736</v>
      </c>
      <c r="E1403" s="18">
        <f>(1/1494.9)*90867.72*1.2*P4</f>
        <v>90.345991464114832</v>
      </c>
      <c r="F1403" s="18">
        <f>(1/1494.9)*68151.3*1.2*P4</f>
        <v>67.760000669856453</v>
      </c>
      <c r="G1403" s="19">
        <f>(1/1494.9)*68151.3*1.2*P4</f>
        <v>67.760000669856453</v>
      </c>
      <c r="H1403" s="19">
        <f>(1/1494.9)*68151.3*1.2*P4</f>
        <v>67.760000669856453</v>
      </c>
      <c r="I1403" s="19">
        <f>(1/1494.9)*89732.46*1.2*P4</f>
        <v>89.217249703349282</v>
      </c>
      <c r="J1403" s="19">
        <f>(1/1494.9)*111313.62*1.2*P4</f>
        <v>110.67449873684208</v>
      </c>
      <c r="K1403" s="18">
        <f>(1/1494.9)*47705.4*1.2*P4</f>
        <v>47.431493397129181</v>
      </c>
      <c r="L1403" s="130" t="s">
        <v>131</v>
      </c>
    </row>
    <row r="1404" spans="1:12" s="51" customFormat="1" ht="18" customHeight="1" thickBot="1" x14ac:dyDescent="0.3">
      <c r="A1404" s="327"/>
      <c r="B1404" s="323"/>
      <c r="C1404" s="18">
        <f>C1403+C1402</f>
        <v>161.45023681388585</v>
      </c>
      <c r="D1404" s="18">
        <f t="shared" ref="D1404:K1404" si="785">D1403+D1402</f>
        <v>183.45723246561403</v>
      </c>
      <c r="E1404" s="18">
        <f t="shared" si="785"/>
        <v>111.39192699533999</v>
      </c>
      <c r="F1404" s="18">
        <f t="shared" si="785"/>
        <v>80.041179946876454</v>
      </c>
      <c r="G1404" s="18">
        <f t="shared" si="785"/>
        <v>90.529589023884228</v>
      </c>
      <c r="H1404" s="18">
        <f t="shared" si="785"/>
        <v>80.041179946876454</v>
      </c>
      <c r="I1404" s="18">
        <f t="shared" si="785"/>
        <v>118.70835007646079</v>
      </c>
      <c r="J1404" s="18">
        <f t="shared" si="785"/>
        <v>130.33013516720479</v>
      </c>
      <c r="K1404" s="18">
        <f t="shared" si="785"/>
        <v>67.087129827491893</v>
      </c>
      <c r="L1404" s="130" t="s">
        <v>131</v>
      </c>
    </row>
    <row r="1405" spans="1:12" s="51" customFormat="1" ht="18" customHeight="1" thickBot="1" x14ac:dyDescent="0.3">
      <c r="A1405" s="328"/>
      <c r="B1405" s="265" t="s">
        <v>212</v>
      </c>
      <c r="C1405" s="36">
        <f>SUM(C1400:C1403)</f>
        <v>10873.734560876597</v>
      </c>
      <c r="D1405" s="36">
        <f t="shared" ref="D1405:K1405" si="786">SUM(D1400:D1403)</f>
        <v>13524.401429181229</v>
      </c>
      <c r="E1405" s="36">
        <f t="shared" si="786"/>
        <v>950.42238188368401</v>
      </c>
      <c r="F1405" s="36">
        <f t="shared" si="786"/>
        <v>663.10597286877226</v>
      </c>
      <c r="G1405" s="36">
        <f t="shared" si="786"/>
        <v>1437.2760257472992</v>
      </c>
      <c r="H1405" s="36">
        <f t="shared" si="786"/>
        <v>758.36835396982838</v>
      </c>
      <c r="I1405" s="36">
        <f t="shared" si="786"/>
        <v>2259.812790885524</v>
      </c>
      <c r="J1405" s="36">
        <f t="shared" si="786"/>
        <v>3890.1709148980949</v>
      </c>
      <c r="K1405" s="36">
        <f t="shared" si="786"/>
        <v>702.05768094769257</v>
      </c>
      <c r="L1405" s="131" t="s">
        <v>131</v>
      </c>
    </row>
    <row r="1406" spans="1:12" s="81" customFormat="1" ht="20.100000000000001" hidden="1" customHeight="1" thickBot="1" x14ac:dyDescent="0.3">
      <c r="A1406" s="327" t="s">
        <v>1139</v>
      </c>
      <c r="B1406" s="321" t="s">
        <v>206</v>
      </c>
      <c r="C1406" s="9">
        <v>4472.6993408390117</v>
      </c>
      <c r="D1406" s="9">
        <v>8612.4776094876652</v>
      </c>
      <c r="E1406" s="9">
        <v>610.15900423090727</v>
      </c>
      <c r="F1406" s="9">
        <v>424.00420078881325</v>
      </c>
      <c r="G1406" s="9">
        <v>978.42820810326282</v>
      </c>
      <c r="H1406" s="9">
        <v>490.77616371459305</v>
      </c>
      <c r="I1406" s="9">
        <v>1556.0955439942634</v>
      </c>
      <c r="J1406" s="9">
        <v>2452.808668053066</v>
      </c>
      <c r="K1406" s="9">
        <v>461.76273689494445</v>
      </c>
      <c r="L1406" s="20" t="s">
        <v>131</v>
      </c>
    </row>
    <row r="1407" spans="1:12" s="81" customFormat="1" ht="20.100000000000001" customHeight="1" x14ac:dyDescent="0.25">
      <c r="A1407" s="327"/>
      <c r="B1407" s="322"/>
      <c r="C1407" s="10">
        <v>10487.844452773361</v>
      </c>
      <c r="D1407" s="10">
        <f t="shared" ref="D1407:K1407" si="787">D1406/14.06*19.53*1.039</f>
        <v>12429.697975399187</v>
      </c>
      <c r="E1407" s="10">
        <f t="shared" si="787"/>
        <v>880.5935392163708</v>
      </c>
      <c r="F1407" s="10">
        <f t="shared" si="787"/>
        <v>611.93124616076375</v>
      </c>
      <c r="G1407" s="10">
        <f t="shared" si="787"/>
        <v>1412.0869358124278</v>
      </c>
      <c r="H1407" s="10">
        <f t="shared" si="787"/>
        <v>708.29786329747481</v>
      </c>
      <c r="I1407" s="10">
        <f t="shared" si="787"/>
        <v>2245.7878568422525</v>
      </c>
      <c r="J1407" s="10">
        <f t="shared" si="787"/>
        <v>3539.9419676580619</v>
      </c>
      <c r="K1407" s="10">
        <f t="shared" si="787"/>
        <v>666.42511204616198</v>
      </c>
      <c r="L1407" s="26" t="s">
        <v>131</v>
      </c>
    </row>
    <row r="1408" spans="1:12" s="81" customFormat="1" ht="18" customHeight="1" x14ac:dyDescent="0.25">
      <c r="A1408" s="327"/>
      <c r="B1408" s="322"/>
      <c r="C1408" s="16">
        <f>C1407*0.0214</f>
        <v>224.43987128934992</v>
      </c>
      <c r="D1408" s="16">
        <f t="shared" ref="D1408:K1408" si="788">D1407*0.0214</f>
        <v>265.99553667354257</v>
      </c>
      <c r="E1408" s="16">
        <f t="shared" si="788"/>
        <v>18.844701739230334</v>
      </c>
      <c r="F1408" s="16">
        <f t="shared" si="788"/>
        <v>13.095328667840343</v>
      </c>
      <c r="G1408" s="16">
        <f t="shared" si="788"/>
        <v>30.218660426385952</v>
      </c>
      <c r="H1408" s="16">
        <f t="shared" si="788"/>
        <v>15.15757427456596</v>
      </c>
      <c r="I1408" s="16">
        <f t="shared" si="788"/>
        <v>48.059860136424199</v>
      </c>
      <c r="J1408" s="16">
        <f t="shared" si="788"/>
        <v>75.754758107882523</v>
      </c>
      <c r="K1408" s="16">
        <f t="shared" si="788"/>
        <v>14.261497397787865</v>
      </c>
      <c r="L1408" s="15" t="s">
        <v>131</v>
      </c>
    </row>
    <row r="1409" spans="1:12" s="81" customFormat="1" ht="18" hidden="1" customHeight="1" x14ac:dyDescent="0.25">
      <c r="A1409" s="327"/>
      <c r="B1409" s="322"/>
      <c r="C1409" s="16">
        <f>41524/2021.6</f>
        <v>20.54016620498615</v>
      </c>
      <c r="D1409" s="16">
        <f>38523/510</f>
        <v>75.535294117647055</v>
      </c>
      <c r="E1409" s="16">
        <f>35475/2021.6</f>
        <v>17.547981796596755</v>
      </c>
      <c r="F1409" s="16">
        <f>42583/2/2021.6</f>
        <v>10.532004352987732</v>
      </c>
      <c r="G1409" s="16">
        <f>38959/2021.6</f>
        <v>19.271369212504947</v>
      </c>
      <c r="H1409" s="16">
        <f>F1409</f>
        <v>10.532004352987732</v>
      </c>
      <c r="I1409" s="16">
        <f>52547/2021.6</f>
        <v>25.992777997625645</v>
      </c>
      <c r="J1409" s="16">
        <f>31979/2021.6</f>
        <v>15.818658488326079</v>
      </c>
      <c r="K1409" s="16">
        <f>J1409</f>
        <v>15.818658488326079</v>
      </c>
      <c r="L1409" s="15" t="s">
        <v>131</v>
      </c>
    </row>
    <row r="1410" spans="1:12" s="81" customFormat="1" ht="18" hidden="1" customHeight="1" thickBot="1" x14ac:dyDescent="0.3">
      <c r="A1410" s="327"/>
      <c r="B1410" s="322"/>
      <c r="C1410" s="18">
        <f>(1/1394.5)*188649*1.2*P4</f>
        <v>201.07005087580907</v>
      </c>
      <c r="D1410" s="18">
        <f>(1/510)*66027.66*1.2*P4</f>
        <v>192.42749627999999</v>
      </c>
      <c r="E1410" s="18">
        <f>(1/1394.5)*125766*1.2*P4</f>
        <v>134.04670058387273</v>
      </c>
      <c r="F1410" s="18">
        <f>(1/1394.5)*94324.5*1.2*P4</f>
        <v>100.53502543790454</v>
      </c>
      <c r="G1410" s="19">
        <f>(1/1394.5)*94324.5*1.2*P4</f>
        <v>100.53502543790454</v>
      </c>
      <c r="H1410" s="19">
        <f>(1/1394.5)*94324.5*1.2*P4</f>
        <v>100.53502543790454</v>
      </c>
      <c r="I1410" s="19">
        <f>(1/1394.5)*124194.18*1.2*P4</f>
        <v>132.37138861631595</v>
      </c>
      <c r="J1410" s="19">
        <f>(1/1394.5)*154063.86*1.2*P4</f>
        <v>164.20775179472739</v>
      </c>
      <c r="K1410" s="18">
        <f>(1/1394.5)*66027.66*1.2*P4</f>
        <v>70.375061386016483</v>
      </c>
      <c r="L1410" s="126" t="s">
        <v>131</v>
      </c>
    </row>
    <row r="1411" spans="1:12" s="81" customFormat="1" ht="18" customHeight="1" thickBot="1" x14ac:dyDescent="0.3">
      <c r="A1411" s="327"/>
      <c r="B1411" s="323"/>
      <c r="C1411" s="18">
        <f>C1410+C1409</f>
        <v>221.61021708079522</v>
      </c>
      <c r="D1411" s="18">
        <f t="shared" ref="D1411:K1411" si="789">D1410+D1409</f>
        <v>267.96279039764704</v>
      </c>
      <c r="E1411" s="18">
        <f t="shared" si="789"/>
        <v>151.59468238046949</v>
      </c>
      <c r="F1411" s="18">
        <f t="shared" si="789"/>
        <v>111.06702979089226</v>
      </c>
      <c r="G1411" s="18">
        <f t="shared" si="789"/>
        <v>119.80639465040949</v>
      </c>
      <c r="H1411" s="18">
        <f t="shared" si="789"/>
        <v>111.06702979089226</v>
      </c>
      <c r="I1411" s="18">
        <f t="shared" si="789"/>
        <v>158.36416661394159</v>
      </c>
      <c r="J1411" s="18">
        <f t="shared" si="789"/>
        <v>180.02641028305345</v>
      </c>
      <c r="K1411" s="18">
        <f t="shared" si="789"/>
        <v>86.193719874342563</v>
      </c>
      <c r="L1411" s="130" t="s">
        <v>131</v>
      </c>
    </row>
    <row r="1412" spans="1:12" s="81" customFormat="1" ht="18" customHeight="1" thickBot="1" x14ac:dyDescent="0.3">
      <c r="A1412" s="328"/>
      <c r="B1412" s="265" t="s">
        <v>212</v>
      </c>
      <c r="C1412" s="36">
        <f>SUM(C1407:C1410)</f>
        <v>10933.894541143507</v>
      </c>
      <c r="D1412" s="36">
        <f t="shared" ref="D1412:K1412" si="790">SUM(D1407:D1410)</f>
        <v>12963.656302470377</v>
      </c>
      <c r="E1412" s="36">
        <f t="shared" si="790"/>
        <v>1051.0329233360708</v>
      </c>
      <c r="F1412" s="36">
        <f t="shared" si="790"/>
        <v>736.09360461949643</v>
      </c>
      <c r="G1412" s="36">
        <f t="shared" si="790"/>
        <v>1562.1119908892231</v>
      </c>
      <c r="H1412" s="36">
        <f t="shared" si="790"/>
        <v>834.52246736293307</v>
      </c>
      <c r="I1412" s="36">
        <f t="shared" si="790"/>
        <v>2452.2118835926181</v>
      </c>
      <c r="J1412" s="36">
        <f t="shared" si="790"/>
        <v>3795.7231360489977</v>
      </c>
      <c r="K1412" s="36">
        <f t="shared" si="790"/>
        <v>766.8803293182923</v>
      </c>
      <c r="L1412" s="131" t="s">
        <v>131</v>
      </c>
    </row>
    <row r="1413" spans="1:12" s="53" customFormat="1" ht="20.100000000000001" hidden="1" customHeight="1" thickBot="1" x14ac:dyDescent="0.3">
      <c r="A1413" s="327" t="s">
        <v>1140</v>
      </c>
      <c r="B1413" s="321" t="s">
        <v>207</v>
      </c>
      <c r="C1413" s="9">
        <v>7266.9766956585372</v>
      </c>
      <c r="D1413" s="9">
        <v>8422.7991988636386</v>
      </c>
      <c r="E1413" s="9">
        <v>910.68922990243914</v>
      </c>
      <c r="F1413" s="9">
        <v>766.6644658536585</v>
      </c>
      <c r="G1413" s="9">
        <v>1079.429505512195</v>
      </c>
      <c r="H1413" s="9">
        <v>475.5065116097561</v>
      </c>
      <c r="I1413" s="9">
        <v>3955.7977333170738</v>
      </c>
      <c r="J1413" s="9">
        <v>2923.4081151219516</v>
      </c>
      <c r="K1413" s="9">
        <v>2670.7517985365857</v>
      </c>
      <c r="L1413" s="20" t="s">
        <v>131</v>
      </c>
    </row>
    <row r="1414" spans="1:12" s="53" customFormat="1" ht="20.100000000000001" customHeight="1" x14ac:dyDescent="0.25">
      <c r="A1414" s="327"/>
      <c r="B1414" s="322"/>
      <c r="C1414" s="7">
        <f>C1413/14.06*19.53*1.039</f>
        <v>10487.844452773361</v>
      </c>
      <c r="D1414" s="7">
        <f t="shared" ref="D1414:K1414" si="791">D1413/14.06*19.53*1.039</f>
        <v>12155.95034278843</v>
      </c>
      <c r="E1414" s="7">
        <f t="shared" si="791"/>
        <v>1314.3247031105566</v>
      </c>
      <c r="F1414" s="7">
        <f t="shared" si="791"/>
        <v>1106.4653159195382</v>
      </c>
      <c r="G1414" s="7">
        <f t="shared" si="791"/>
        <v>1557.8540052714538</v>
      </c>
      <c r="H1414" s="7">
        <f t="shared" si="791"/>
        <v>686.26039946204401</v>
      </c>
      <c r="I1414" s="7">
        <f t="shared" si="791"/>
        <v>5709.0855043540587</v>
      </c>
      <c r="J1414" s="7">
        <f t="shared" si="791"/>
        <v>4219.1203945502593</v>
      </c>
      <c r="K1414" s="7">
        <f t="shared" si="791"/>
        <v>3854.4818028314994</v>
      </c>
      <c r="L1414" s="90" t="s">
        <v>131</v>
      </c>
    </row>
    <row r="1415" spans="1:12" s="53" customFormat="1" ht="20.100000000000001" customHeight="1" x14ac:dyDescent="0.25">
      <c r="A1415" s="327"/>
      <c r="B1415" s="322"/>
      <c r="C1415" s="35">
        <f>C1414*0.0214</f>
        <v>224.43987128934992</v>
      </c>
      <c r="D1415" s="35">
        <f t="shared" ref="D1415:K1415" si="792">D1414*0.0214</f>
        <v>260.13733733567238</v>
      </c>
      <c r="E1415" s="35">
        <f t="shared" si="792"/>
        <v>28.126548646565908</v>
      </c>
      <c r="F1415" s="35">
        <f t="shared" si="792"/>
        <v>23.678357760678114</v>
      </c>
      <c r="G1415" s="35">
        <f t="shared" si="792"/>
        <v>33.338075712809108</v>
      </c>
      <c r="H1415" s="35">
        <f t="shared" si="792"/>
        <v>14.68597254848774</v>
      </c>
      <c r="I1415" s="35">
        <f t="shared" si="792"/>
        <v>122.17442979317686</v>
      </c>
      <c r="J1415" s="35">
        <f t="shared" si="792"/>
        <v>90.289176443375538</v>
      </c>
      <c r="K1415" s="35">
        <f t="shared" si="792"/>
        <v>82.48591058059408</v>
      </c>
      <c r="L1415" s="15" t="s">
        <v>131</v>
      </c>
    </row>
    <row r="1416" spans="1:12" s="53" customFormat="1" ht="20.100000000000001" hidden="1" customHeight="1" x14ac:dyDescent="0.25">
      <c r="A1416" s="327"/>
      <c r="B1416" s="322"/>
      <c r="C1416" s="16">
        <f>41689/2050.3</f>
        <v>20.333121982148953</v>
      </c>
      <c r="D1416" s="16">
        <f>38645/410</f>
        <v>94.256097560975604</v>
      </c>
      <c r="E1416" s="16">
        <f>35554/2050.3</f>
        <v>17.340876944837341</v>
      </c>
      <c r="F1416" s="16">
        <f>42763/2/2050.3</f>
        <v>10.428473881870945</v>
      </c>
      <c r="G1416" s="16">
        <f>39088/2050.3</f>
        <v>19.064527142369407</v>
      </c>
      <c r="H1416" s="16">
        <f>F1416</f>
        <v>10.428473881870945</v>
      </c>
      <c r="I1416" s="16">
        <f>52869/2050.3</f>
        <v>25.785982539140612</v>
      </c>
      <c r="J1416" s="16">
        <f>32008/2050.3</f>
        <v>15.6113739452763</v>
      </c>
      <c r="K1416" s="16">
        <f>J1416</f>
        <v>15.6113739452763</v>
      </c>
      <c r="L1416" s="15" t="s">
        <v>131</v>
      </c>
    </row>
    <row r="1417" spans="1:12" s="53" customFormat="1" ht="20.100000000000001" hidden="1" customHeight="1" thickBot="1" x14ac:dyDescent="0.3">
      <c r="A1417" s="327"/>
      <c r="B1417" s="322"/>
      <c r="C1417" s="43">
        <f>(1/2050.3)*261543.3*1.2*P4</f>
        <v>189.59967406222961</v>
      </c>
      <c r="D1417" s="27">
        <f>(1/410)*91539.9*1.2*P4</f>
        <v>331.8470612064184</v>
      </c>
      <c r="E1417" s="27">
        <f>(1/2050.3)*174362.88*1.2*P4</f>
        <v>126.40027565818608</v>
      </c>
      <c r="F1417" s="27">
        <f>(1/2050.3)*130772.16*1.2*P4</f>
        <v>94.800206743639563</v>
      </c>
      <c r="G1417" s="27">
        <f>(1/2050.3)*130772.16*1.2*P4</f>
        <v>94.800206743639563</v>
      </c>
      <c r="H1417" s="28">
        <f>(1/2050.3)*130772.16*1.2*P4</f>
        <v>94.800206743639563</v>
      </c>
      <c r="I1417" s="28">
        <f>(1/2050.3)*172183.14*1.2*P4</f>
        <v>124.82012432744887</v>
      </c>
      <c r="J1417" s="28">
        <f>(1/2050.3)*213594.12*1.2*P4</f>
        <v>154.84004191125814</v>
      </c>
      <c r="K1417" s="28">
        <f>(1/2050.3)*91539.9*1.2*P4</f>
        <v>66.359701065517996</v>
      </c>
      <c r="L1417" s="34" t="s">
        <v>131</v>
      </c>
    </row>
    <row r="1418" spans="1:12" s="53" customFormat="1" ht="20.100000000000001" customHeight="1" thickBot="1" x14ac:dyDescent="0.3">
      <c r="A1418" s="327"/>
      <c r="B1418" s="323"/>
      <c r="C1418" s="64">
        <f>C1417+C1416</f>
        <v>209.93279604437856</v>
      </c>
      <c r="D1418" s="64">
        <f t="shared" ref="D1418:K1418" si="793">D1417+D1416</f>
        <v>426.10315876739401</v>
      </c>
      <c r="E1418" s="64">
        <f t="shared" si="793"/>
        <v>143.74115260302341</v>
      </c>
      <c r="F1418" s="64">
        <f t="shared" si="793"/>
        <v>105.22868062551051</v>
      </c>
      <c r="G1418" s="64">
        <f t="shared" si="793"/>
        <v>113.86473388600896</v>
      </c>
      <c r="H1418" s="64">
        <f t="shared" si="793"/>
        <v>105.22868062551051</v>
      </c>
      <c r="I1418" s="64">
        <f t="shared" si="793"/>
        <v>150.60610686658947</v>
      </c>
      <c r="J1418" s="64">
        <f t="shared" si="793"/>
        <v>170.45141585653445</v>
      </c>
      <c r="K1418" s="64">
        <f t="shared" si="793"/>
        <v>81.971075010794294</v>
      </c>
      <c r="L1418" s="34" t="s">
        <v>131</v>
      </c>
    </row>
    <row r="1419" spans="1:12" s="53" customFormat="1" ht="20.100000000000001" customHeight="1" thickBot="1" x14ac:dyDescent="0.3">
      <c r="A1419" s="328"/>
      <c r="B1419" s="265" t="s">
        <v>212</v>
      </c>
      <c r="C1419" s="36">
        <f>SUM(C1414:C1417)</f>
        <v>10922.217120107091</v>
      </c>
      <c r="D1419" s="36">
        <f t="shared" ref="D1419:K1419" si="794">SUM(D1414:D1417)</f>
        <v>12842.190838891496</v>
      </c>
      <c r="E1419" s="36">
        <f t="shared" si="794"/>
        <v>1486.1924043601459</v>
      </c>
      <c r="F1419" s="36">
        <f t="shared" si="794"/>
        <v>1235.372354305727</v>
      </c>
      <c r="G1419" s="36">
        <f t="shared" si="794"/>
        <v>1705.0568148702719</v>
      </c>
      <c r="H1419" s="36">
        <f t="shared" si="794"/>
        <v>806.17505263604221</v>
      </c>
      <c r="I1419" s="36">
        <f t="shared" si="794"/>
        <v>5981.8660410138255</v>
      </c>
      <c r="J1419" s="36">
        <f t="shared" si="794"/>
        <v>4479.8609868501699</v>
      </c>
      <c r="K1419" s="36">
        <f t="shared" si="794"/>
        <v>4018.9387884228877</v>
      </c>
      <c r="L1419" s="37" t="s">
        <v>131</v>
      </c>
    </row>
    <row r="1420" spans="1:12" s="51" customFormat="1" ht="20.100000000000001" hidden="1" customHeight="1" thickBot="1" x14ac:dyDescent="0.3">
      <c r="A1420" s="327" t="s">
        <v>1141</v>
      </c>
      <c r="B1420" s="321" t="s">
        <v>33</v>
      </c>
      <c r="C1420" s="78">
        <v>5594.3934000822373</v>
      </c>
      <c r="D1420" s="78">
        <v>7410.0956313461547</v>
      </c>
      <c r="E1420" s="78">
        <f>848.213173652695*1.15</f>
        <v>975.44514970059913</v>
      </c>
      <c r="F1420" s="78">
        <v>415.07463939144736</v>
      </c>
      <c r="G1420" s="78" t="s">
        <v>131</v>
      </c>
      <c r="H1420" s="78">
        <v>581.00870136001072</v>
      </c>
      <c r="I1420" s="78">
        <v>3720.462248355263</v>
      </c>
      <c r="J1420" s="78">
        <v>3443.8660847039473</v>
      </c>
      <c r="K1420" s="9" t="s">
        <v>131</v>
      </c>
      <c r="L1420" s="20" t="s">
        <v>131</v>
      </c>
    </row>
    <row r="1421" spans="1:12" s="51" customFormat="1" ht="20.100000000000001" customHeight="1" x14ac:dyDescent="0.25">
      <c r="A1421" s="327"/>
      <c r="B1421" s="322"/>
      <c r="C1421" s="10">
        <v>27880.11</v>
      </c>
      <c r="D1421" s="10">
        <v>24611</v>
      </c>
      <c r="E1421" s="10">
        <f t="shared" ref="E1421:J1421" si="795">E1420/12.79*19.53*1.039</f>
        <v>1547.5692791888316</v>
      </c>
      <c r="F1421" s="10">
        <f t="shared" si="795"/>
        <v>658.52678716968342</v>
      </c>
      <c r="G1421" s="10" t="s">
        <v>131</v>
      </c>
      <c r="H1421" s="10">
        <f t="shared" si="795"/>
        <v>921.78552268380679</v>
      </c>
      <c r="I1421" s="10">
        <f t="shared" si="795"/>
        <v>5902.6108046194722</v>
      </c>
      <c r="J1421" s="10">
        <f t="shared" si="795"/>
        <v>5463.7837462865173</v>
      </c>
      <c r="K1421" s="10" t="s">
        <v>131</v>
      </c>
      <c r="L1421" s="26" t="s">
        <v>131</v>
      </c>
    </row>
    <row r="1422" spans="1:12" s="51" customFormat="1" ht="20.100000000000001" customHeight="1" x14ac:dyDescent="0.25">
      <c r="A1422" s="327"/>
      <c r="B1422" s="322"/>
      <c r="C1422" s="16">
        <f>C1421*0.0214</f>
        <v>596.63435400000003</v>
      </c>
      <c r="D1422" s="16">
        <f t="shared" ref="D1422:J1422" si="796">D1421*0.0214</f>
        <v>526.67539999999997</v>
      </c>
      <c r="E1422" s="16">
        <f t="shared" si="796"/>
        <v>33.117982574640997</v>
      </c>
      <c r="F1422" s="16">
        <f t="shared" si="796"/>
        <v>14.092473245431224</v>
      </c>
      <c r="G1422" s="16" t="s">
        <v>131</v>
      </c>
      <c r="H1422" s="16">
        <f t="shared" si="796"/>
        <v>19.726210185433466</v>
      </c>
      <c r="I1422" s="16">
        <f t="shared" si="796"/>
        <v>126.3158712188567</v>
      </c>
      <c r="J1422" s="16">
        <f t="shared" si="796"/>
        <v>116.92497217053146</v>
      </c>
      <c r="K1422" s="16" t="s">
        <v>131</v>
      </c>
      <c r="L1422" s="15" t="s">
        <v>131</v>
      </c>
    </row>
    <row r="1423" spans="1:12" s="51" customFormat="1" ht="20.100000000000001" hidden="1" customHeight="1" x14ac:dyDescent="0.25">
      <c r="A1423" s="327"/>
      <c r="B1423" s="322"/>
      <c r="C1423" s="16">
        <f>36026/729.6</f>
        <v>49.377741228070171</v>
      </c>
      <c r="D1423" s="16">
        <f>34445/365</f>
        <v>94.369863013698634</v>
      </c>
      <c r="E1423" s="16">
        <f>31912/729.6</f>
        <v>43.739035087719294</v>
      </c>
      <c r="F1423" s="16">
        <f>33169/2/729.6</f>
        <v>22.730948464912281</v>
      </c>
      <c r="G1423" s="16" t="s">
        <v>131</v>
      </c>
      <c r="H1423" s="16">
        <f>F1423</f>
        <v>22.730948464912281</v>
      </c>
      <c r="I1423" s="16">
        <f>34804/729.6</f>
        <v>47.702850877192979</v>
      </c>
      <c r="J1423" s="16">
        <f>30996/729.6</f>
        <v>42.483552631578945</v>
      </c>
      <c r="K1423" s="16" t="s">
        <v>131</v>
      </c>
      <c r="L1423" s="15" t="s">
        <v>131</v>
      </c>
    </row>
    <row r="1424" spans="1:12" s="51" customFormat="1" ht="20.100000000000001" hidden="1" customHeight="1" thickBot="1" x14ac:dyDescent="0.3">
      <c r="A1424" s="327"/>
      <c r="B1424" s="322"/>
      <c r="C1424" s="9">
        <f>(1/729.6)*86544.96*1.2*P4</f>
        <v>176.3065126745152</v>
      </c>
      <c r="D1424" s="9">
        <f>(1/365)*73563.42*1.2*P4</f>
        <v>299.55767153113192</v>
      </c>
      <c r="E1424" s="9">
        <f>(1/729.6)*57696.3*1.2*P4</f>
        <v>117.53698247965718</v>
      </c>
      <c r="F1424" s="9">
        <f>(1/729.6)*43272.48*1.2*P4</f>
        <v>88.153256337257602</v>
      </c>
      <c r="G1424" s="24" t="s">
        <v>131</v>
      </c>
      <c r="H1424" s="24">
        <f>(1/729.6)*43272.48*1.2*P4</f>
        <v>88.153256337257602</v>
      </c>
      <c r="I1424" s="24">
        <f>(1/729.6)*56975.16*1.2*P4</f>
        <v>116.06790006804016</v>
      </c>
      <c r="J1424" s="24">
        <f>(1/729.6)*70677.84*1.2*P4</f>
        <v>143.98254379882266</v>
      </c>
      <c r="K1424" s="143" t="s">
        <v>131</v>
      </c>
      <c r="L1424" s="130" t="s">
        <v>131</v>
      </c>
    </row>
    <row r="1425" spans="1:12" s="51" customFormat="1" ht="20.100000000000001" customHeight="1" thickBot="1" x14ac:dyDescent="0.3">
      <c r="A1425" s="327"/>
      <c r="B1425" s="323"/>
      <c r="C1425" s="18">
        <f>C1424+C1423</f>
        <v>225.68425390258537</v>
      </c>
      <c r="D1425" s="18">
        <f t="shared" ref="D1425:J1425" si="797">D1424+D1423</f>
        <v>393.92753454483056</v>
      </c>
      <c r="E1425" s="18">
        <f t="shared" si="797"/>
        <v>161.27601756737647</v>
      </c>
      <c r="F1425" s="18">
        <f t="shared" si="797"/>
        <v>110.88420480216988</v>
      </c>
      <c r="G1425" s="18" t="s">
        <v>131</v>
      </c>
      <c r="H1425" s="18">
        <f t="shared" si="797"/>
        <v>110.88420480216988</v>
      </c>
      <c r="I1425" s="18">
        <f t="shared" si="797"/>
        <v>163.77075094523315</v>
      </c>
      <c r="J1425" s="18">
        <f t="shared" si="797"/>
        <v>186.46609643040159</v>
      </c>
      <c r="K1425" s="165" t="s">
        <v>131</v>
      </c>
      <c r="L1425" s="130" t="s">
        <v>131</v>
      </c>
    </row>
    <row r="1426" spans="1:12" s="51" customFormat="1" ht="20.100000000000001" customHeight="1" thickBot="1" x14ac:dyDescent="0.3">
      <c r="A1426" s="328"/>
      <c r="B1426" s="265" t="s">
        <v>212</v>
      </c>
      <c r="C1426" s="18">
        <f>SUM(C1421:C1424)</f>
        <v>28702.428607902588</v>
      </c>
      <c r="D1426" s="18">
        <f t="shared" ref="D1426:J1426" si="798">SUM(D1421:D1424)</f>
        <v>25531.60293454483</v>
      </c>
      <c r="E1426" s="18">
        <f t="shared" si="798"/>
        <v>1741.963279330849</v>
      </c>
      <c r="F1426" s="18">
        <f t="shared" si="798"/>
        <v>783.50346521728466</v>
      </c>
      <c r="G1426" s="18" t="s">
        <v>131</v>
      </c>
      <c r="H1426" s="18">
        <f t="shared" si="798"/>
        <v>1052.3959376714101</v>
      </c>
      <c r="I1426" s="18">
        <f>SUM(I1421:I1424)</f>
        <v>6192.6974267835622</v>
      </c>
      <c r="J1426" s="18">
        <f t="shared" si="798"/>
        <v>5767.1748148874512</v>
      </c>
      <c r="K1426" s="144" t="s">
        <v>131</v>
      </c>
      <c r="L1426" s="131" t="s">
        <v>131</v>
      </c>
    </row>
    <row r="1427" spans="1:12" s="53" customFormat="1" ht="20.100000000000001" customHeight="1" thickBot="1" x14ac:dyDescent="0.3">
      <c r="A1427" s="311" t="s">
        <v>1142</v>
      </c>
      <c r="B1427" s="312"/>
      <c r="C1427" s="312"/>
      <c r="D1427" s="312"/>
      <c r="E1427" s="312"/>
      <c r="F1427" s="312"/>
      <c r="G1427" s="312"/>
      <c r="H1427" s="312"/>
      <c r="I1427" s="312"/>
      <c r="J1427" s="312"/>
      <c r="K1427" s="312"/>
      <c r="L1427" s="313"/>
    </row>
    <row r="1428" spans="1:12" s="81" customFormat="1" ht="20.100000000000001" hidden="1" customHeight="1" thickBot="1" x14ac:dyDescent="0.3">
      <c r="A1428" s="329" t="s">
        <v>1143</v>
      </c>
      <c r="B1428" s="335" t="s">
        <v>213</v>
      </c>
      <c r="C1428" s="82">
        <v>8453.9870969127514</v>
      </c>
      <c r="D1428" s="9">
        <v>11862.200479500001</v>
      </c>
      <c r="E1428" s="9">
        <v>1227.1103812348995</v>
      </c>
      <c r="F1428" s="9">
        <v>780.15248279194623</v>
      </c>
      <c r="G1428" s="9">
        <v>1908.2902441879194</v>
      </c>
      <c r="H1428" s="9">
        <v>883.04808397315446</v>
      </c>
      <c r="I1428" s="9">
        <v>4628.1393872751678</v>
      </c>
      <c r="J1428" s="9">
        <v>5794.7872555436243</v>
      </c>
      <c r="K1428" s="9">
        <v>814.2173363489934</v>
      </c>
      <c r="L1428" s="20" t="s">
        <v>131</v>
      </c>
    </row>
    <row r="1429" spans="1:12" s="81" customFormat="1" ht="20.100000000000001" customHeight="1" x14ac:dyDescent="0.25">
      <c r="A1429" s="329"/>
      <c r="B1429" s="336"/>
      <c r="C1429" s="14">
        <v>27132.416666666668</v>
      </c>
      <c r="D1429" s="7">
        <f>17142.3*1.15</f>
        <v>19713.644999999997</v>
      </c>
      <c r="E1429" s="7">
        <f t="shared" ref="E1429:K1429" si="799">E1428/13.19*19.53*1.039</f>
        <v>1887.8027983011959</v>
      </c>
      <c r="F1429" s="7">
        <f t="shared" si="799"/>
        <v>1200.1968711519978</v>
      </c>
      <c r="G1429" s="7">
        <f t="shared" si="799"/>
        <v>2935.738885464797</v>
      </c>
      <c r="H1429" s="7">
        <f t="shared" si="799"/>
        <v>1358.4928213885928</v>
      </c>
      <c r="I1429" s="7">
        <f t="shared" si="799"/>
        <v>7119.9906869287261</v>
      </c>
      <c r="J1429" s="7">
        <f t="shared" si="799"/>
        <v>8914.7771576722444</v>
      </c>
      <c r="K1429" s="7">
        <f t="shared" si="799"/>
        <v>1252.6026912413024</v>
      </c>
      <c r="L1429" s="8" t="s">
        <v>131</v>
      </c>
    </row>
    <row r="1430" spans="1:12" s="81" customFormat="1" ht="20.100000000000001" customHeight="1" x14ac:dyDescent="0.25">
      <c r="A1430" s="329"/>
      <c r="B1430" s="336"/>
      <c r="C1430" s="138">
        <f t="shared" ref="C1430:K1430" si="800">C1429*0.0214</f>
        <v>580.63371666666671</v>
      </c>
      <c r="D1430" s="35">
        <f t="shared" si="800"/>
        <v>421.87200299999989</v>
      </c>
      <c r="E1430" s="35">
        <f t="shared" si="800"/>
        <v>40.398979883645588</v>
      </c>
      <c r="F1430" s="35">
        <f t="shared" si="800"/>
        <v>25.68421304265275</v>
      </c>
      <c r="G1430" s="35">
        <f t="shared" si="800"/>
        <v>62.824812148946656</v>
      </c>
      <c r="H1430" s="35">
        <f t="shared" si="800"/>
        <v>29.071746377715886</v>
      </c>
      <c r="I1430" s="35">
        <f t="shared" si="800"/>
        <v>152.36780070027473</v>
      </c>
      <c r="J1430" s="35">
        <f t="shared" si="800"/>
        <v>190.77623117418602</v>
      </c>
      <c r="K1430" s="35">
        <f t="shared" si="800"/>
        <v>26.80569759256387</v>
      </c>
      <c r="L1430" s="15" t="s">
        <v>131</v>
      </c>
    </row>
    <row r="1431" spans="1:12" s="81" customFormat="1" ht="15" hidden="1" customHeight="1" x14ac:dyDescent="0.25">
      <c r="A1431" s="329"/>
      <c r="B1431" s="336"/>
      <c r="C1431" s="14">
        <f>39647/636.8</f>
        <v>62.259736180904525</v>
      </c>
      <c r="D1431" s="16">
        <f>38268/400</f>
        <v>95.67</v>
      </c>
      <c r="E1431" s="16">
        <f>36056/636.8</f>
        <v>56.620603015075382</v>
      </c>
      <c r="F1431" s="16">
        <f>37154/2/636.8</f>
        <v>29.172424623115582</v>
      </c>
      <c r="G1431" s="16">
        <f>36868/636.8</f>
        <v>57.895728643216081</v>
      </c>
      <c r="H1431" s="16">
        <f>F1431</f>
        <v>29.172424623115582</v>
      </c>
      <c r="I1431" s="16">
        <f>38580/636.8</f>
        <v>60.584170854271363</v>
      </c>
      <c r="J1431" s="16">
        <f>35256/636.8</f>
        <v>55.364321608040207</v>
      </c>
      <c r="K1431" s="16">
        <f>J1431</f>
        <v>55.364321608040207</v>
      </c>
      <c r="L1431" s="15" t="s">
        <v>131</v>
      </c>
    </row>
    <row r="1432" spans="1:12" s="81" customFormat="1" ht="15" hidden="1" customHeight="1" thickBot="1" x14ac:dyDescent="0.3">
      <c r="A1432" s="329"/>
      <c r="B1432" s="336"/>
      <c r="C1432" s="110">
        <f>(1/447)*85305*P4</f>
        <v>236.37259175203104</v>
      </c>
      <c r="D1432" s="67">
        <f>(1/400)*72509*P4</f>
        <v>224.52364146710525</v>
      </c>
      <c r="E1432" s="67">
        <f>(1/447)*56870*P4</f>
        <v>157.58172783468737</v>
      </c>
      <c r="F1432" s="67">
        <f>(1/447)*42652*P4</f>
        <v>118.18491042034616</v>
      </c>
      <c r="G1432" s="67">
        <f>(1/447)*42652*P4</f>
        <v>118.18491042034616</v>
      </c>
      <c r="H1432" s="67">
        <f>(1/447)*42652*P4</f>
        <v>118.18491042034616</v>
      </c>
      <c r="I1432" s="68">
        <f>(1/447)*56159*P4</f>
        <v>155.61160987283642</v>
      </c>
      <c r="J1432" s="68">
        <f>(1/447)*69665*P4</f>
        <v>193.03553841398798</v>
      </c>
      <c r="K1432" s="68">
        <f>(1/447)*29856*P4</f>
        <v>82.728328929706805</v>
      </c>
      <c r="L1432" s="34" t="s">
        <v>131</v>
      </c>
    </row>
    <row r="1433" spans="1:12" s="81" customFormat="1" ht="20.100000000000001" customHeight="1" thickBot="1" x14ac:dyDescent="0.3">
      <c r="A1433" s="329"/>
      <c r="B1433" s="337"/>
      <c r="C1433" s="17">
        <f>C1432+C1431</f>
        <v>298.6323279329356</v>
      </c>
      <c r="D1433" s="17">
        <f t="shared" ref="D1433:K1433" si="801">D1432+D1431</f>
        <v>320.19364146710524</v>
      </c>
      <c r="E1433" s="17">
        <f t="shared" si="801"/>
        <v>214.20233084976275</v>
      </c>
      <c r="F1433" s="17">
        <f t="shared" si="801"/>
        <v>147.35733504346175</v>
      </c>
      <c r="G1433" s="17">
        <f t="shared" si="801"/>
        <v>176.08063906356224</v>
      </c>
      <c r="H1433" s="17">
        <f t="shared" si="801"/>
        <v>147.35733504346175</v>
      </c>
      <c r="I1433" s="17">
        <f t="shared" si="801"/>
        <v>216.19578072710777</v>
      </c>
      <c r="J1433" s="17">
        <f t="shared" si="801"/>
        <v>248.39986002202818</v>
      </c>
      <c r="K1433" s="17">
        <f t="shared" si="801"/>
        <v>138.09265053774701</v>
      </c>
      <c r="L1433" s="34" t="s">
        <v>131</v>
      </c>
    </row>
    <row r="1434" spans="1:12" s="81" customFormat="1" ht="20.100000000000001" customHeight="1" thickBot="1" x14ac:dyDescent="0.3">
      <c r="A1434" s="330"/>
      <c r="B1434" s="272" t="s">
        <v>212</v>
      </c>
      <c r="C1434" s="268">
        <f t="shared" ref="C1434:K1434" si="802">SUM(C1429:C1432)</f>
        <v>28011.682711266272</v>
      </c>
      <c r="D1434" s="36">
        <f t="shared" si="802"/>
        <v>20455.710644467101</v>
      </c>
      <c r="E1434" s="36">
        <f t="shared" si="802"/>
        <v>2142.4041090346041</v>
      </c>
      <c r="F1434" s="36">
        <f t="shared" si="802"/>
        <v>1373.2384192381123</v>
      </c>
      <c r="G1434" s="36">
        <f t="shared" si="802"/>
        <v>3174.644336677306</v>
      </c>
      <c r="H1434" s="36">
        <f t="shared" si="802"/>
        <v>1534.9219028097705</v>
      </c>
      <c r="I1434" s="36">
        <f t="shared" si="802"/>
        <v>7488.554268356108</v>
      </c>
      <c r="J1434" s="36">
        <f t="shared" si="802"/>
        <v>9353.9532488684581</v>
      </c>
      <c r="K1434" s="36">
        <f t="shared" si="802"/>
        <v>1417.5010393716132</v>
      </c>
      <c r="L1434" s="37" t="s">
        <v>131</v>
      </c>
    </row>
    <row r="1435" spans="1:12" s="81" customFormat="1" ht="15" hidden="1" customHeight="1" thickBot="1" x14ac:dyDescent="0.3">
      <c r="A1435" s="329" t="s">
        <v>1144</v>
      </c>
      <c r="B1435" s="332" t="s">
        <v>208</v>
      </c>
      <c r="C1435" s="78">
        <v>5362.1314142131978</v>
      </c>
      <c r="D1435" s="78">
        <v>7951.4725875000004</v>
      </c>
      <c r="E1435" s="78">
        <v>795.54512284263956</v>
      </c>
      <c r="F1435" s="78">
        <v>505.78282538071068</v>
      </c>
      <c r="G1435" s="78">
        <v>1237.1423969543148</v>
      </c>
      <c r="H1435" s="78">
        <v>563.4557573604061</v>
      </c>
      <c r="I1435" s="78">
        <v>3000.3559065989853</v>
      </c>
      <c r="J1435" s="78">
        <v>3394.2973096446703</v>
      </c>
      <c r="K1435" s="9" t="s">
        <v>131</v>
      </c>
      <c r="L1435" s="20" t="s">
        <v>131</v>
      </c>
    </row>
    <row r="1436" spans="1:12" s="81" customFormat="1" ht="20.100000000000001" customHeight="1" x14ac:dyDescent="0.25">
      <c r="A1436" s="329"/>
      <c r="B1436" s="333"/>
      <c r="C1436" s="45">
        <v>27132.416666666668</v>
      </c>
      <c r="D1436" s="7">
        <v>18054.18</v>
      </c>
      <c r="E1436" s="45">
        <f t="shared" ref="E1436:J1436" si="803">E1435/13.19*19.53*1.039</f>
        <v>1223.8771116627979</v>
      </c>
      <c r="F1436" s="45">
        <f t="shared" si="803"/>
        <v>778.1029707576198</v>
      </c>
      <c r="G1436" s="45">
        <f t="shared" si="803"/>
        <v>1903.2361836244095</v>
      </c>
      <c r="H1436" s="45">
        <f t="shared" si="803"/>
        <v>866.82777012565828</v>
      </c>
      <c r="I1436" s="45">
        <f t="shared" si="803"/>
        <v>4615.7871068428685</v>
      </c>
      <c r="J1436" s="45">
        <f t="shared" si="803"/>
        <v>5221.8317580892699</v>
      </c>
      <c r="K1436" s="7" t="s">
        <v>131</v>
      </c>
      <c r="L1436" s="8" t="s">
        <v>131</v>
      </c>
    </row>
    <row r="1437" spans="1:12" s="81" customFormat="1" ht="19.5" customHeight="1" x14ac:dyDescent="0.25">
      <c r="A1437" s="329"/>
      <c r="B1437" s="333"/>
      <c r="C1437" s="138">
        <f>C1436*0.0214</f>
        <v>580.63371666666671</v>
      </c>
      <c r="D1437" s="138">
        <f t="shared" ref="D1437:J1437" si="804">D1436*0.0214</f>
        <v>386.35945199999998</v>
      </c>
      <c r="E1437" s="138">
        <f t="shared" si="804"/>
        <v>26.190970189583876</v>
      </c>
      <c r="F1437" s="138">
        <f t="shared" si="804"/>
        <v>16.651403574213063</v>
      </c>
      <c r="G1437" s="138">
        <f t="shared" si="804"/>
        <v>40.729254329562359</v>
      </c>
      <c r="H1437" s="138">
        <f t="shared" si="804"/>
        <v>18.550114280689087</v>
      </c>
      <c r="I1437" s="138">
        <f t="shared" si="804"/>
        <v>98.777844086437383</v>
      </c>
      <c r="J1437" s="138">
        <f t="shared" si="804"/>
        <v>111.74719962311038</v>
      </c>
      <c r="K1437" s="35" t="s">
        <v>131</v>
      </c>
      <c r="L1437" s="15" t="s">
        <v>131</v>
      </c>
    </row>
    <row r="1438" spans="1:12" s="81" customFormat="1" ht="15" hidden="1" customHeight="1" x14ac:dyDescent="0.25">
      <c r="A1438" s="329"/>
      <c r="B1438" s="333"/>
      <c r="C1438" s="14">
        <f>38703/524.33</f>
        <v>73.814200980298665</v>
      </c>
      <c r="D1438" s="16">
        <f>37566/262</f>
        <v>143.38167938931298</v>
      </c>
      <c r="E1438" s="16">
        <f>35746/524.33</f>
        <v>68.174622852020676</v>
      </c>
      <c r="F1438" s="16">
        <f>36650/2/524.33</f>
        <v>34.949363950184043</v>
      </c>
      <c r="G1438" s="16">
        <f>36415/524.33</f>
        <v>69.450536875631755</v>
      </c>
      <c r="H1438" s="16">
        <f>F1438</f>
        <v>34.949363950184043</v>
      </c>
      <c r="I1438" s="16">
        <f>35087/524.33</f>
        <v>66.917780786909006</v>
      </c>
      <c r="J1438" s="16">
        <f>I1438</f>
        <v>66.917780786909006</v>
      </c>
      <c r="K1438" s="16" t="s">
        <v>131</v>
      </c>
      <c r="L1438" s="15" t="s">
        <v>131</v>
      </c>
    </row>
    <row r="1439" spans="1:12" s="81" customFormat="1" ht="15" hidden="1" customHeight="1" thickBot="1" x14ac:dyDescent="0.3">
      <c r="A1439" s="329"/>
      <c r="B1439" s="333"/>
      <c r="C1439" s="17">
        <f>(1/689.5)*85895.22*1.2*P4</f>
        <v>185.15955350592725</v>
      </c>
      <c r="D1439" s="18">
        <f>(1/262)*30063.48*1.2*P4</f>
        <v>170.5490712072318</v>
      </c>
      <c r="E1439" s="18">
        <f>(1/689.5)*57263.82*1.2*P4</f>
        <v>123.44043525639476</v>
      </c>
      <c r="F1439" s="18">
        <f>(1/689.5)*42948.12*1.2*P4</f>
        <v>92.580876131628557</v>
      </c>
      <c r="G1439" s="19">
        <f>(1/689.5)*42948.12*1.2*P4</f>
        <v>92.580876131628557</v>
      </c>
      <c r="H1439" s="19">
        <f>(1/689.5)*42948.12*1.2*P4</f>
        <v>92.580876131628557</v>
      </c>
      <c r="I1439" s="19">
        <f>(1/689.5)*56547.78*1.2*P4</f>
        <v>121.896907610824</v>
      </c>
      <c r="J1439" s="19">
        <f>(1/689.5)*70148.46*1.2*P4</f>
        <v>151.21513784734933</v>
      </c>
      <c r="K1439" s="145" t="s">
        <v>131</v>
      </c>
      <c r="L1439" s="34" t="s">
        <v>131</v>
      </c>
    </row>
    <row r="1440" spans="1:12" s="81" customFormat="1" ht="20.100000000000001" customHeight="1" thickBot="1" x14ac:dyDescent="0.3">
      <c r="A1440" s="329"/>
      <c r="B1440" s="334"/>
      <c r="C1440" s="17">
        <f>C1439+C1438</f>
        <v>258.97375448622591</v>
      </c>
      <c r="D1440" s="17">
        <f t="shared" ref="D1440:J1440" si="805">D1439+D1438</f>
        <v>313.93075059654478</v>
      </c>
      <c r="E1440" s="17">
        <f t="shared" si="805"/>
        <v>191.61505810841544</v>
      </c>
      <c r="F1440" s="17">
        <f t="shared" si="805"/>
        <v>127.53024008181259</v>
      </c>
      <c r="G1440" s="17">
        <f t="shared" si="805"/>
        <v>162.03141300726031</v>
      </c>
      <c r="H1440" s="17">
        <f t="shared" si="805"/>
        <v>127.53024008181259</v>
      </c>
      <c r="I1440" s="17">
        <f t="shared" si="805"/>
        <v>188.81468839773299</v>
      </c>
      <c r="J1440" s="17">
        <f t="shared" si="805"/>
        <v>218.13291863425832</v>
      </c>
      <c r="K1440" s="145" t="s">
        <v>131</v>
      </c>
      <c r="L1440" s="34" t="s">
        <v>131</v>
      </c>
    </row>
    <row r="1441" spans="1:12" s="81" customFormat="1" ht="20.100000000000001" customHeight="1" thickBot="1" x14ac:dyDescent="0.3">
      <c r="A1441" s="330"/>
      <c r="B1441" s="273" t="s">
        <v>212</v>
      </c>
      <c r="C1441" s="36">
        <f>SUM(C1436:C1439)</f>
        <v>27972.024137819561</v>
      </c>
      <c r="D1441" s="36">
        <f t="shared" ref="D1441:J1441" si="806">SUM(D1436:D1439)</f>
        <v>18754.470202596545</v>
      </c>
      <c r="E1441" s="36">
        <f t="shared" si="806"/>
        <v>1441.6831399607972</v>
      </c>
      <c r="F1441" s="36">
        <f t="shared" si="806"/>
        <v>922.2846144136455</v>
      </c>
      <c r="G1441" s="36">
        <f t="shared" si="806"/>
        <v>2105.9968509612322</v>
      </c>
      <c r="H1441" s="36">
        <f t="shared" si="806"/>
        <v>1012.90812448816</v>
      </c>
      <c r="I1441" s="36">
        <f t="shared" si="806"/>
        <v>4903.3796393270395</v>
      </c>
      <c r="J1441" s="36">
        <f t="shared" si="806"/>
        <v>5551.7118763466387</v>
      </c>
      <c r="K1441" s="36" t="s">
        <v>131</v>
      </c>
      <c r="L1441" s="37" t="s">
        <v>131</v>
      </c>
    </row>
    <row r="1442" spans="1:12" s="51" customFormat="1" ht="15" hidden="1" customHeight="1" thickBot="1" x14ac:dyDescent="0.3">
      <c r="A1442" s="329" t="s">
        <v>1145</v>
      </c>
      <c r="B1442" s="321" t="s">
        <v>123</v>
      </c>
      <c r="C1442" s="9">
        <v>4631.1554311263108</v>
      </c>
      <c r="D1442" s="9">
        <v>11742.639759069767</v>
      </c>
      <c r="E1442" s="9">
        <v>654</v>
      </c>
      <c r="F1442" s="9">
        <v>399</v>
      </c>
      <c r="G1442" s="9">
        <v>827.60601031674219</v>
      </c>
      <c r="H1442" s="9">
        <v>310</v>
      </c>
      <c r="I1442" s="9">
        <v>1857.8877514932126</v>
      </c>
      <c r="J1442" s="9">
        <v>3564.1109529002165</v>
      </c>
      <c r="K1442" s="9">
        <v>741.15633111495299</v>
      </c>
      <c r="L1442" s="20" t="s">
        <v>131</v>
      </c>
    </row>
    <row r="1443" spans="1:12" s="51" customFormat="1" ht="20.100000000000001" customHeight="1" x14ac:dyDescent="0.25">
      <c r="A1443" s="329"/>
      <c r="B1443" s="322"/>
      <c r="C1443" s="7">
        <v>27132.416666666668</v>
      </c>
      <c r="D1443" s="7">
        <v>17142.3</v>
      </c>
      <c r="E1443" s="7">
        <f t="shared" ref="E1443:K1443" si="807">E1442/13.19*19.53*1.039</f>
        <v>1006.1222274450341</v>
      </c>
      <c r="F1443" s="7">
        <f t="shared" si="807"/>
        <v>613.82686353297959</v>
      </c>
      <c r="G1443" s="7">
        <f t="shared" si="807"/>
        <v>1273.2000038941567</v>
      </c>
      <c r="H1443" s="7">
        <f t="shared" si="807"/>
        <v>476.90808946171347</v>
      </c>
      <c r="I1443" s="7">
        <f t="shared" si="807"/>
        <v>2858.1990258030537</v>
      </c>
      <c r="J1443" s="7">
        <f t="shared" si="807"/>
        <v>5483.0753070232558</v>
      </c>
      <c r="K1443" s="7">
        <f t="shared" si="807"/>
        <v>1140.2046769822107</v>
      </c>
      <c r="L1443" s="8" t="s">
        <v>131</v>
      </c>
    </row>
    <row r="1444" spans="1:12" s="51" customFormat="1" ht="20.100000000000001" customHeight="1" x14ac:dyDescent="0.25">
      <c r="A1444" s="329"/>
      <c r="B1444" s="322"/>
      <c r="C1444" s="35">
        <f>C1443*0.0214</f>
        <v>580.63371666666671</v>
      </c>
      <c r="D1444" s="35">
        <f t="shared" ref="D1444:K1444" si="808">D1443*0.0214</f>
        <v>366.84521999999998</v>
      </c>
      <c r="E1444" s="35">
        <f t="shared" si="808"/>
        <v>21.531015667323729</v>
      </c>
      <c r="F1444" s="35">
        <f t="shared" si="808"/>
        <v>13.135894879605763</v>
      </c>
      <c r="G1444" s="35">
        <f t="shared" si="808"/>
        <v>27.246480083334951</v>
      </c>
      <c r="H1444" s="35">
        <f t="shared" si="808"/>
        <v>10.205833114480669</v>
      </c>
      <c r="I1444" s="35">
        <f t="shared" si="808"/>
        <v>61.165459152185349</v>
      </c>
      <c r="J1444" s="35">
        <f t="shared" si="808"/>
        <v>117.33781157029767</v>
      </c>
      <c r="K1444" s="35">
        <f t="shared" si="808"/>
        <v>24.400380087419308</v>
      </c>
      <c r="L1444" s="15" t="s">
        <v>131</v>
      </c>
    </row>
    <row r="1445" spans="1:12" s="51" customFormat="1" ht="15" hidden="1" customHeight="1" x14ac:dyDescent="0.25">
      <c r="A1445" s="329"/>
      <c r="B1445" s="322"/>
      <c r="C1445" s="16">
        <f>48172/1815.06</f>
        <v>26.540169470981677</v>
      </c>
      <c r="D1445" s="16">
        <f>44590/1815.06</f>
        <v>24.566680991261997</v>
      </c>
      <c r="E1445" s="16">
        <f>39305/1815.06</f>
        <v>21.654931517415402</v>
      </c>
      <c r="F1445" s="16">
        <f>45687/2/1815.06</f>
        <v>12.585534362500413</v>
      </c>
      <c r="G1445" s="16">
        <f>42433/1815.06</f>
        <v>23.378290524831137</v>
      </c>
      <c r="H1445" s="16">
        <f>F1445</f>
        <v>12.585534362500413</v>
      </c>
      <c r="I1445" s="16">
        <f>54634/1815.06</f>
        <v>30.10038235650612</v>
      </c>
      <c r="J1445" s="16">
        <f>36781/1815.06</f>
        <v>20.264343878439281</v>
      </c>
      <c r="K1445" s="16">
        <f>J1445</f>
        <v>20.264343878439281</v>
      </c>
      <c r="L1445" s="15" t="s">
        <v>131</v>
      </c>
    </row>
    <row r="1446" spans="1:12" s="51" customFormat="1" ht="15" hidden="1" customHeight="1" thickBot="1" x14ac:dyDescent="0.3">
      <c r="A1446" s="329"/>
      <c r="B1446" s="322"/>
      <c r="C1446" s="18">
        <f>(1/1657.5)*138935.22*1.2*P4</f>
        <v>124.58627900307692</v>
      </c>
      <c r="D1446" s="18">
        <f>(1/1657.5)*48627.48*1.2*P4</f>
        <v>43.605334849554652</v>
      </c>
      <c r="E1446" s="18">
        <f>(1/1657.5)*92623.14*1.2*P4</f>
        <v>83.057214449878529</v>
      </c>
      <c r="F1446" s="18">
        <f>(1/1657.5)*69467.1*1.2*P4</f>
        <v>62.292682173279353</v>
      </c>
      <c r="G1446" s="19">
        <f>(1/1657.5)*69467.1*1.2*P4</f>
        <v>62.292682173279353</v>
      </c>
      <c r="H1446" s="19">
        <f>(1/1657.5)*69467.1*1.2*P4</f>
        <v>62.292682173279353</v>
      </c>
      <c r="I1446" s="19">
        <f>(1/1657.5)*91465.44*1.2*P4</f>
        <v>82.019079301700401</v>
      </c>
      <c r="J1446" s="19">
        <f>(1/1657.5)*113463.78*1.2*P4</f>
        <v>101.74547643012144</v>
      </c>
      <c r="K1446" s="18">
        <f>(1/1657.5)*48627.48*1.2*P4</f>
        <v>43.605334849554652</v>
      </c>
      <c r="L1446" s="34" t="s">
        <v>131</v>
      </c>
    </row>
    <row r="1447" spans="1:12" s="51" customFormat="1" ht="20.100000000000001" customHeight="1" thickBot="1" x14ac:dyDescent="0.3">
      <c r="A1447" s="329"/>
      <c r="B1447" s="323"/>
      <c r="C1447" s="18">
        <f>C1446+C1445</f>
        <v>151.12644847405861</v>
      </c>
      <c r="D1447" s="18">
        <f t="shared" ref="D1447:K1447" si="809">D1446+D1445</f>
        <v>68.172015840816641</v>
      </c>
      <c r="E1447" s="18">
        <f t="shared" si="809"/>
        <v>104.71214596729394</v>
      </c>
      <c r="F1447" s="18">
        <f t="shared" si="809"/>
        <v>74.878216535779771</v>
      </c>
      <c r="G1447" s="18">
        <f t="shared" si="809"/>
        <v>85.670972698110489</v>
      </c>
      <c r="H1447" s="18">
        <f t="shared" si="809"/>
        <v>74.878216535779771</v>
      </c>
      <c r="I1447" s="18">
        <f t="shared" si="809"/>
        <v>112.11946165820652</v>
      </c>
      <c r="J1447" s="18">
        <f t="shared" si="809"/>
        <v>122.00982030856072</v>
      </c>
      <c r="K1447" s="18">
        <f t="shared" si="809"/>
        <v>63.869678727993929</v>
      </c>
      <c r="L1447" s="34" t="s">
        <v>131</v>
      </c>
    </row>
    <row r="1448" spans="1:12" s="51" customFormat="1" ht="20.100000000000001" customHeight="1" thickBot="1" x14ac:dyDescent="0.3">
      <c r="A1448" s="330"/>
      <c r="B1448" s="265" t="s">
        <v>212</v>
      </c>
      <c r="C1448" s="36">
        <f>SUM(C1443:C1446)</f>
        <v>27864.176831807392</v>
      </c>
      <c r="D1448" s="36">
        <f t="shared" ref="D1448:K1448" si="810">SUM(D1443:D1446)</f>
        <v>17577.317235840816</v>
      </c>
      <c r="E1448" s="36">
        <f t="shared" si="810"/>
        <v>1132.3653890796518</v>
      </c>
      <c r="F1448" s="36">
        <f t="shared" si="810"/>
        <v>701.8409749483651</v>
      </c>
      <c r="G1448" s="36">
        <f t="shared" si="810"/>
        <v>1386.1174566756022</v>
      </c>
      <c r="H1448" s="36">
        <f t="shared" si="810"/>
        <v>561.99213911197387</v>
      </c>
      <c r="I1448" s="36">
        <f t="shared" si="810"/>
        <v>3031.4839466134458</v>
      </c>
      <c r="J1448" s="36">
        <f t="shared" si="810"/>
        <v>5722.4229389021139</v>
      </c>
      <c r="K1448" s="36">
        <f t="shared" si="810"/>
        <v>1228.4747357976239</v>
      </c>
      <c r="L1448" s="37" t="s">
        <v>131</v>
      </c>
    </row>
    <row r="1449" spans="1:12" s="51" customFormat="1" ht="15" hidden="1" customHeight="1" thickBot="1" x14ac:dyDescent="0.3">
      <c r="A1449" s="329" t="s">
        <v>1146</v>
      </c>
      <c r="B1449" s="321" t="s">
        <v>124</v>
      </c>
      <c r="C1449" s="9">
        <v>4002.3629389572916</v>
      </c>
      <c r="D1449" s="9">
        <v>9126.5151204188496</v>
      </c>
      <c r="E1449" s="9">
        <v>512.23571347335701</v>
      </c>
      <c r="F1449" s="9">
        <v>399</v>
      </c>
      <c r="G1449" s="9">
        <v>822.15643917414081</v>
      </c>
      <c r="H1449" s="9">
        <v>433.4209226148779</v>
      </c>
      <c r="I1449" s="9">
        <v>1302.5924242460721</v>
      </c>
      <c r="J1449" s="9">
        <v>2298.0947128267749</v>
      </c>
      <c r="K1449" s="9">
        <v>388.32018556544091</v>
      </c>
      <c r="L1449" s="20" t="s">
        <v>131</v>
      </c>
    </row>
    <row r="1450" spans="1:12" s="51" customFormat="1" ht="20.100000000000001" customHeight="1" x14ac:dyDescent="0.25">
      <c r="A1450" s="329"/>
      <c r="B1450" s="322"/>
      <c r="C1450" s="7">
        <v>27132.416666666668</v>
      </c>
      <c r="D1450" s="7">
        <v>18054.18</v>
      </c>
      <c r="E1450" s="7">
        <f t="shared" ref="E1450:K1450" si="811">E1449/13.19*19.53*1.039</f>
        <v>788.03017892463333</v>
      </c>
      <c r="F1450" s="7">
        <f t="shared" si="811"/>
        <v>613.82686353297959</v>
      </c>
      <c r="G1450" s="7">
        <f t="shared" si="811"/>
        <v>1264.816311758661</v>
      </c>
      <c r="H1450" s="7">
        <f t="shared" si="811"/>
        <v>666.78046495804699</v>
      </c>
      <c r="I1450" s="7">
        <f t="shared" si="811"/>
        <v>2003.9253690145031</v>
      </c>
      <c r="J1450" s="7">
        <f t="shared" si="811"/>
        <v>3535.4192222460711</v>
      </c>
      <c r="K1450" s="7">
        <f t="shared" si="811"/>
        <v>597.39689612074994</v>
      </c>
      <c r="L1450" s="8" t="s">
        <v>131</v>
      </c>
    </row>
    <row r="1451" spans="1:12" s="51" customFormat="1" ht="21.95" customHeight="1" x14ac:dyDescent="0.25">
      <c r="A1451" s="329"/>
      <c r="B1451" s="322"/>
      <c r="C1451" s="35">
        <f>C1450*0.0214</f>
        <v>580.63371666666671</v>
      </c>
      <c r="D1451" s="35">
        <f t="shared" ref="D1451:K1451" si="812">D1450*0.0214</f>
        <v>386.35945199999998</v>
      </c>
      <c r="E1451" s="35">
        <f t="shared" si="812"/>
        <v>16.863845828987152</v>
      </c>
      <c r="F1451" s="35">
        <f t="shared" si="812"/>
        <v>13.135894879605763</v>
      </c>
      <c r="G1451" s="35">
        <f t="shared" si="812"/>
        <v>27.067069071635345</v>
      </c>
      <c r="H1451" s="35">
        <f t="shared" si="812"/>
        <v>14.269101950102204</v>
      </c>
      <c r="I1451" s="35">
        <f t="shared" si="812"/>
        <v>42.884002896910367</v>
      </c>
      <c r="J1451" s="35">
        <f t="shared" si="812"/>
        <v>75.657971356065914</v>
      </c>
      <c r="K1451" s="35">
        <f t="shared" si="812"/>
        <v>12.784293576984048</v>
      </c>
      <c r="L1451" s="15" t="s">
        <v>131</v>
      </c>
    </row>
    <row r="1452" spans="1:12" s="51" customFormat="1" ht="15" hidden="1" customHeight="1" x14ac:dyDescent="0.25">
      <c r="A1452" s="329"/>
      <c r="B1452" s="322"/>
      <c r="C1452" s="16">
        <f>46752/1808.91</f>
        <v>25.845398610212779</v>
      </c>
      <c r="D1452" s="16">
        <f>43537/452</f>
        <v>96.320796460176993</v>
      </c>
      <c r="E1452" s="16">
        <f>39288/1808.91</f>
        <v>21.719156840307146</v>
      </c>
      <c r="F1452" s="16">
        <f>45648/2/1808.91</f>
        <v>12.61754316135131</v>
      </c>
      <c r="G1452" s="16">
        <f>42406/1808.91</f>
        <v>23.442846797242538</v>
      </c>
      <c r="H1452" s="16">
        <f>F1452</f>
        <v>12.61754316135131</v>
      </c>
      <c r="I1452" s="16">
        <f>54565/1808.91</f>
        <v>30.164574246369359</v>
      </c>
      <c r="J1452" s="16">
        <f>36527/1808.91</f>
        <v>20.192823302430746</v>
      </c>
      <c r="K1452" s="16">
        <f>J1452</f>
        <v>20.192823302430746</v>
      </c>
      <c r="L1452" s="15" t="s">
        <v>131</v>
      </c>
    </row>
    <row r="1453" spans="1:12" s="51" customFormat="1" ht="15" hidden="1" customHeight="1" thickBot="1" x14ac:dyDescent="0.3">
      <c r="A1453" s="329"/>
      <c r="B1453" s="322"/>
      <c r="C1453" s="18">
        <f>(1/1661.3)*192968.7*1.2*P4</f>
        <v>172.64348932110869</v>
      </c>
      <c r="D1453" s="18">
        <f>(1/452)*67539.3*1.2*P4</f>
        <v>222.09026348230088</v>
      </c>
      <c r="E1453" s="18">
        <f>(1/1661.3)*128645.46*1.2*P4</f>
        <v>115.09535535928426</v>
      </c>
      <c r="F1453" s="18">
        <f>(1/1661.3)*96484.86*1.2*P4</f>
        <v>86.322200942736657</v>
      </c>
      <c r="G1453" s="19">
        <f>(1/1661.3)*96484.86*1.2*P4</f>
        <v>86.322200942736657</v>
      </c>
      <c r="H1453" s="19">
        <f>(1/1661.3)*96484.86*1.2*P4</f>
        <v>86.322200942736657</v>
      </c>
      <c r="I1453" s="19">
        <f>(1/1661.3)*127037.94*1.2*P4</f>
        <v>113.65715392063919</v>
      </c>
      <c r="J1453" s="19">
        <f>(1/1661.3)*157591.02*1.2*P4</f>
        <v>140.99210689854169</v>
      </c>
      <c r="K1453" s="18">
        <f>(1/1661.3)*67539.3*1.2*P4</f>
        <v>60.425449403479206</v>
      </c>
      <c r="L1453" s="34" t="s">
        <v>131</v>
      </c>
    </row>
    <row r="1454" spans="1:12" s="51" customFormat="1" ht="21.95" customHeight="1" thickBot="1" x14ac:dyDescent="0.3">
      <c r="A1454" s="329"/>
      <c r="B1454" s="323"/>
      <c r="C1454" s="18">
        <f>C1453+C1452</f>
        <v>198.48888793132147</v>
      </c>
      <c r="D1454" s="18">
        <f t="shared" ref="D1454:K1454" si="813">D1453+D1452</f>
        <v>318.41105994247789</v>
      </c>
      <c r="E1454" s="18">
        <f t="shared" si="813"/>
        <v>136.81451219959141</v>
      </c>
      <c r="F1454" s="18">
        <f t="shared" si="813"/>
        <v>98.939744104087964</v>
      </c>
      <c r="G1454" s="18">
        <f t="shared" si="813"/>
        <v>109.7650477399792</v>
      </c>
      <c r="H1454" s="18">
        <f t="shared" si="813"/>
        <v>98.939744104087964</v>
      </c>
      <c r="I1454" s="18">
        <f t="shared" si="813"/>
        <v>143.82172816700856</v>
      </c>
      <c r="J1454" s="18">
        <f t="shared" si="813"/>
        <v>161.18493020097245</v>
      </c>
      <c r="K1454" s="18">
        <f t="shared" si="813"/>
        <v>80.618272705909959</v>
      </c>
      <c r="L1454" s="34" t="s">
        <v>131</v>
      </c>
    </row>
    <row r="1455" spans="1:12" s="51" customFormat="1" ht="21.95" customHeight="1" thickBot="1" x14ac:dyDescent="0.3">
      <c r="A1455" s="330"/>
      <c r="B1455" s="259" t="s">
        <v>212</v>
      </c>
      <c r="C1455" s="36">
        <f>SUM(C1450:C1453)</f>
        <v>27911.539271264657</v>
      </c>
      <c r="D1455" s="36">
        <f t="shared" ref="D1455:K1455" si="814">SUM(D1450:D1453)</f>
        <v>18758.950511942476</v>
      </c>
      <c r="E1455" s="36">
        <f t="shared" si="814"/>
        <v>941.70853695321182</v>
      </c>
      <c r="F1455" s="36">
        <f t="shared" si="814"/>
        <v>725.90250251667339</v>
      </c>
      <c r="G1455" s="36">
        <f t="shared" si="814"/>
        <v>1401.6484285702754</v>
      </c>
      <c r="H1455" s="36">
        <f t="shared" si="814"/>
        <v>779.98931101223729</v>
      </c>
      <c r="I1455" s="36">
        <f t="shared" si="814"/>
        <v>2190.6311000784222</v>
      </c>
      <c r="J1455" s="36">
        <f t="shared" si="814"/>
        <v>3772.2621238031097</v>
      </c>
      <c r="K1455" s="36">
        <f t="shared" si="814"/>
        <v>690.79946240364393</v>
      </c>
      <c r="L1455" s="37" t="s">
        <v>131</v>
      </c>
    </row>
    <row r="1456" spans="1:12" s="51" customFormat="1" ht="15" hidden="1" customHeight="1" thickBot="1" x14ac:dyDescent="0.3">
      <c r="A1456" s="329" t="s">
        <v>1147</v>
      </c>
      <c r="B1456" s="321" t="s">
        <v>125</v>
      </c>
      <c r="C1456" s="9">
        <v>4293.5695775701861</v>
      </c>
      <c r="D1456" s="9">
        <v>9126.6154952879588</v>
      </c>
      <c r="E1456" s="9">
        <v>493.37502093318983</v>
      </c>
      <c r="F1456" s="9">
        <v>340.2471652645994</v>
      </c>
      <c r="G1456" s="9">
        <v>811.26003433434425</v>
      </c>
      <c r="H1456" s="9">
        <v>404.14367299227246</v>
      </c>
      <c r="I1456" s="9">
        <v>1215.6236444781375</v>
      </c>
      <c r="J1456" s="9">
        <v>1780.3932433727869</v>
      </c>
      <c r="K1456" s="9">
        <v>637.53609126479512</v>
      </c>
      <c r="L1456" s="20" t="s">
        <v>131</v>
      </c>
    </row>
    <row r="1457" spans="1:12" s="51" customFormat="1" ht="20.100000000000001" customHeight="1" x14ac:dyDescent="0.25">
      <c r="A1457" s="329"/>
      <c r="B1457" s="322"/>
      <c r="C1457" s="7">
        <v>27132.416666666668</v>
      </c>
      <c r="D1457" s="7">
        <v>18054.18</v>
      </c>
      <c r="E1457" s="7">
        <f t="shared" ref="E1457:K1457" si="815">E1456/13.19*19.53*1.039</f>
        <v>759.01464071413045</v>
      </c>
      <c r="F1457" s="7">
        <f t="shared" si="815"/>
        <v>523.4407275196902</v>
      </c>
      <c r="G1457" s="7">
        <f t="shared" si="815"/>
        <v>1248.0531388097941</v>
      </c>
      <c r="H1457" s="7">
        <f t="shared" si="815"/>
        <v>621.73995791865855</v>
      </c>
      <c r="I1457" s="7">
        <f t="shared" si="815"/>
        <v>1870.1314509437216</v>
      </c>
      <c r="J1457" s="7">
        <f t="shared" si="815"/>
        <v>2738.9804522176105</v>
      </c>
      <c r="K1457" s="7">
        <f t="shared" si="815"/>
        <v>980.79393305800647</v>
      </c>
      <c r="L1457" s="8" t="s">
        <v>131</v>
      </c>
    </row>
    <row r="1458" spans="1:12" s="51" customFormat="1" ht="21.95" customHeight="1" x14ac:dyDescent="0.25">
      <c r="A1458" s="329"/>
      <c r="B1458" s="322"/>
      <c r="C1458" s="35">
        <f>C1457*0.0214</f>
        <v>580.63371666666671</v>
      </c>
      <c r="D1458" s="35">
        <f t="shared" ref="D1458:K1458" si="816">D1457*0.0214</f>
        <v>386.35945199999998</v>
      </c>
      <c r="E1458" s="35">
        <f t="shared" si="816"/>
        <v>16.24291331128239</v>
      </c>
      <c r="F1458" s="35">
        <f t="shared" si="816"/>
        <v>11.201631568921369</v>
      </c>
      <c r="G1458" s="35">
        <f t="shared" si="816"/>
        <v>26.708337170529592</v>
      </c>
      <c r="H1458" s="35">
        <f t="shared" si="816"/>
        <v>13.305235099459292</v>
      </c>
      <c r="I1458" s="35">
        <f t="shared" si="816"/>
        <v>40.020813050195642</v>
      </c>
      <c r="J1458" s="35">
        <f t="shared" si="816"/>
        <v>58.614181677456862</v>
      </c>
      <c r="K1458" s="35">
        <f t="shared" si="816"/>
        <v>20.988990167441337</v>
      </c>
      <c r="L1458" s="15" t="s">
        <v>131</v>
      </c>
    </row>
    <row r="1459" spans="1:12" s="51" customFormat="1" ht="15" hidden="1" customHeight="1" x14ac:dyDescent="0.25">
      <c r="A1459" s="329"/>
      <c r="B1459" s="322"/>
      <c r="C1459" s="16">
        <f>47072/2221.37</f>
        <v>21.190526566938424</v>
      </c>
      <c r="D1459" s="16">
        <f>43775/444</f>
        <v>98.592342342342349</v>
      </c>
      <c r="E1459" s="16">
        <f>40426/2221.37</f>
        <v>18.198679193470696</v>
      </c>
      <c r="F1459" s="16">
        <f>58190/2/2221.37</f>
        <v>13.097772995943945</v>
      </c>
      <c r="G1459" s="16">
        <f>56199/2221.37</f>
        <v>25.299252263242956</v>
      </c>
      <c r="H1459" s="16">
        <f>F1459</f>
        <v>13.097772995943945</v>
      </c>
      <c r="I1459" s="16">
        <f>59185/2221.37</f>
        <v>26.643467769889753</v>
      </c>
      <c r="J1459" s="16">
        <f>36584/2221.37</f>
        <v>16.469115905949934</v>
      </c>
      <c r="K1459" s="16">
        <f>J1459</f>
        <v>16.469115905949934</v>
      </c>
      <c r="L1459" s="15" t="s">
        <v>131</v>
      </c>
    </row>
    <row r="1460" spans="1:12" s="51" customFormat="1" ht="15" hidden="1" customHeight="1" thickBot="1" x14ac:dyDescent="0.3">
      <c r="A1460" s="329"/>
      <c r="B1460" s="322"/>
      <c r="C1460" s="18">
        <f>(1/2044.6)*261450.48*1.2*P4</f>
        <v>190.06077071334502</v>
      </c>
      <c r="D1460" s="18">
        <f>(1/444)*91508.28*1.2*P4</f>
        <v>306.32949945064007</v>
      </c>
      <c r="E1460" s="18">
        <f>(1/2044.6)*174300.66*1.2*P4</f>
        <v>126.70742763771062</v>
      </c>
      <c r="F1460" s="18">
        <f>(1/2044.6)*130725.24*1.2*P4</f>
        <v>95.030385356672511</v>
      </c>
      <c r="G1460" s="19">
        <f>(1/2044.6)*130725.24*1.2*P4</f>
        <v>95.030385356672511</v>
      </c>
      <c r="H1460" s="19">
        <f>(1/2044.6)*130725.24*1.2*P4</f>
        <v>95.030385356672511</v>
      </c>
      <c r="I1460" s="19">
        <f>(1/2044.6)*172121.94*1.2*P4</f>
        <v>125.1236125979808</v>
      </c>
      <c r="J1460" s="19">
        <f>(1/2044.6)*213518.64*1.2*P4</f>
        <v>155.21683983928909</v>
      </c>
      <c r="K1460" s="18">
        <f>(1/2044.6)*91508.28*1.2*P4</f>
        <v>66.521714641535851</v>
      </c>
      <c r="L1460" s="34" t="s">
        <v>131</v>
      </c>
    </row>
    <row r="1461" spans="1:12" s="51" customFormat="1" ht="21.95" customHeight="1" thickBot="1" x14ac:dyDescent="0.3">
      <c r="A1461" s="329"/>
      <c r="B1461" s="323"/>
      <c r="C1461" s="18">
        <f>C1460+C1459</f>
        <v>211.25129728028344</v>
      </c>
      <c r="D1461" s="18">
        <f t="shared" ref="D1461:K1461" si="817">D1460+D1459</f>
        <v>404.92184179298243</v>
      </c>
      <c r="E1461" s="18">
        <f t="shared" si="817"/>
        <v>144.90610683118132</v>
      </c>
      <c r="F1461" s="18">
        <f t="shared" si="817"/>
        <v>108.12815835261645</v>
      </c>
      <c r="G1461" s="18">
        <f t="shared" si="817"/>
        <v>120.32963761991547</v>
      </c>
      <c r="H1461" s="18">
        <f t="shared" si="817"/>
        <v>108.12815835261645</v>
      </c>
      <c r="I1461" s="18">
        <f t="shared" si="817"/>
        <v>151.76708036787056</v>
      </c>
      <c r="J1461" s="18">
        <f t="shared" si="817"/>
        <v>171.68595574523903</v>
      </c>
      <c r="K1461" s="18">
        <f t="shared" si="817"/>
        <v>82.990830547485785</v>
      </c>
      <c r="L1461" s="34" t="s">
        <v>131</v>
      </c>
    </row>
    <row r="1462" spans="1:12" s="51" customFormat="1" ht="21.95" customHeight="1" thickBot="1" x14ac:dyDescent="0.3">
      <c r="A1462" s="330"/>
      <c r="B1462" s="259" t="s">
        <v>212</v>
      </c>
      <c r="C1462" s="36">
        <f>SUM(C1457:C1460)</f>
        <v>27924.301680613618</v>
      </c>
      <c r="D1462" s="36">
        <f t="shared" ref="D1462:K1462" si="818">SUM(D1457:D1460)</f>
        <v>18845.461293792981</v>
      </c>
      <c r="E1462" s="36">
        <f t="shared" si="818"/>
        <v>920.16366085659411</v>
      </c>
      <c r="F1462" s="36">
        <f t="shared" si="818"/>
        <v>642.77051744122798</v>
      </c>
      <c r="G1462" s="36">
        <f t="shared" si="818"/>
        <v>1395.0911136002392</v>
      </c>
      <c r="H1462" s="36">
        <f t="shared" si="818"/>
        <v>743.17335137073428</v>
      </c>
      <c r="I1462" s="36">
        <f t="shared" si="818"/>
        <v>2061.9193443617878</v>
      </c>
      <c r="J1462" s="36">
        <f t="shared" si="818"/>
        <v>2969.2805896403065</v>
      </c>
      <c r="K1462" s="36">
        <f t="shared" si="818"/>
        <v>1084.7737537729336</v>
      </c>
      <c r="L1462" s="37" t="s">
        <v>131</v>
      </c>
    </row>
    <row r="1463" spans="1:12" s="51" customFormat="1" ht="15" hidden="1" customHeight="1" thickBot="1" x14ac:dyDescent="0.3">
      <c r="A1463" s="329" t="s">
        <v>1148</v>
      </c>
      <c r="B1463" s="321" t="s">
        <v>126</v>
      </c>
      <c r="C1463" s="9">
        <v>3809.4608102535162</v>
      </c>
      <c r="D1463" s="9">
        <v>9182.3319368442753</v>
      </c>
      <c r="E1463" s="9">
        <v>621.74071823229428</v>
      </c>
      <c r="F1463" s="9">
        <v>446.04062657849562</v>
      </c>
      <c r="G1463" s="9">
        <v>1897.1023129432629</v>
      </c>
      <c r="H1463" s="9">
        <v>296.48188372449363</v>
      </c>
      <c r="I1463" s="9">
        <v>3478.3688085106396</v>
      </c>
      <c r="J1463" s="9">
        <v>3388.4566421174964</v>
      </c>
      <c r="K1463" s="9" t="s">
        <v>131</v>
      </c>
      <c r="L1463" s="20" t="s">
        <v>131</v>
      </c>
    </row>
    <row r="1464" spans="1:12" s="51" customFormat="1" ht="20.100000000000001" customHeight="1" x14ac:dyDescent="0.25">
      <c r="A1464" s="329"/>
      <c r="B1464" s="322"/>
      <c r="C1464" s="10">
        <v>27132.416666666668</v>
      </c>
      <c r="D1464" s="7">
        <f>17142.3*1.15</f>
        <v>19713.644999999997</v>
      </c>
      <c r="E1464" s="7">
        <f t="shared" ref="E1464:J1464" si="819">E1463/14.06*19.53*1.039</f>
        <v>897.30849786150065</v>
      </c>
      <c r="F1464" s="7">
        <f t="shared" si="819"/>
        <v>643.73465157354633</v>
      </c>
      <c r="G1464" s="7">
        <f t="shared" si="819"/>
        <v>2737.9355683130452</v>
      </c>
      <c r="H1464" s="7">
        <f t="shared" si="819"/>
        <v>427.88851675076785</v>
      </c>
      <c r="I1464" s="7">
        <f t="shared" si="819"/>
        <v>5020.0506401558378</v>
      </c>
      <c r="J1464" s="7">
        <f t="shared" si="819"/>
        <v>4890.2876238375766</v>
      </c>
      <c r="K1464" s="7" t="s">
        <v>131</v>
      </c>
      <c r="L1464" s="8" t="s">
        <v>131</v>
      </c>
    </row>
    <row r="1465" spans="1:12" s="51" customFormat="1" ht="21.95" customHeight="1" x14ac:dyDescent="0.25">
      <c r="A1465" s="329"/>
      <c r="B1465" s="322"/>
      <c r="C1465" s="16">
        <f>C1464*0.0214</f>
        <v>580.63371666666671</v>
      </c>
      <c r="D1465" s="35">
        <f t="shared" ref="D1465:J1465" si="820">D1464*0.0214</f>
        <v>421.87200299999989</v>
      </c>
      <c r="E1465" s="35">
        <f t="shared" si="820"/>
        <v>19.202401854236115</v>
      </c>
      <c r="F1465" s="35">
        <f t="shared" si="820"/>
        <v>13.77592154367389</v>
      </c>
      <c r="G1465" s="35">
        <f t="shared" si="820"/>
        <v>58.591821161899162</v>
      </c>
      <c r="H1465" s="35">
        <f t="shared" si="820"/>
        <v>9.1568142584664312</v>
      </c>
      <c r="I1465" s="35">
        <f t="shared" si="820"/>
        <v>107.42908369933492</v>
      </c>
      <c r="J1465" s="35">
        <f t="shared" si="820"/>
        <v>104.65215515012413</v>
      </c>
      <c r="K1465" s="35" t="s">
        <v>131</v>
      </c>
      <c r="L1465" s="15" t="s">
        <v>131</v>
      </c>
    </row>
    <row r="1466" spans="1:12" s="51" customFormat="1" ht="15" hidden="1" customHeight="1" x14ac:dyDescent="0.25">
      <c r="A1466" s="329"/>
      <c r="B1466" s="322"/>
      <c r="C1466" s="16">
        <f>37141/338.4</f>
        <v>109.75472813238771</v>
      </c>
      <c r="D1466" s="16">
        <f>36408/186</f>
        <v>195.74193548387098</v>
      </c>
      <c r="E1466" s="16">
        <f>35233/338.4</f>
        <v>104.1164302600473</v>
      </c>
      <c r="F1466" s="16">
        <f>37939/2/338.4</f>
        <v>56.056442080378254</v>
      </c>
      <c r="G1466" s="16">
        <f>37636/338.4</f>
        <v>111.21749408983452</v>
      </c>
      <c r="H1466" s="16">
        <f>F1466</f>
        <v>56.056442080378254</v>
      </c>
      <c r="I1466" s="16">
        <f>38091/338.4</f>
        <v>112.56205673758866</v>
      </c>
      <c r="J1466" s="16">
        <f>34808/338.4</f>
        <v>102.86052009456266</v>
      </c>
      <c r="K1466" s="16" t="s">
        <v>131</v>
      </c>
      <c r="L1466" s="15" t="s">
        <v>131</v>
      </c>
    </row>
    <row r="1467" spans="1:12" s="51" customFormat="1" ht="15" hidden="1" customHeight="1" thickBot="1" x14ac:dyDescent="0.3">
      <c r="A1467" s="329"/>
      <c r="B1467" s="322"/>
      <c r="C1467" s="18">
        <f>(1/338.4)*80210.76*1.2*P4</f>
        <v>352.30083778387456</v>
      </c>
      <c r="D1467" s="18">
        <f>(1/338)*68178.84*1.2*P4</f>
        <v>299.80875197396443</v>
      </c>
      <c r="E1467" s="18">
        <f>(1/338.4)*53473.5*1.2*P4</f>
        <v>234.86573184490479</v>
      </c>
      <c r="F1467" s="18">
        <f>(1/338.4)*40105.38*1.2*P4</f>
        <v>176.15041889193728</v>
      </c>
      <c r="G1467" s="19">
        <f>(1/338.4)*40105.38*1.2*P4</f>
        <v>176.15041889193728</v>
      </c>
      <c r="H1467" s="19">
        <f>(1/338.4)*40105.38*1.2*P4</f>
        <v>176.15041889193728</v>
      </c>
      <c r="I1467" s="19">
        <f>(1/338.4)*52805.4*1.2*P4</f>
        <v>231.93131020716683</v>
      </c>
      <c r="J1467" s="19">
        <f>(1/338.4)*65505.42*1.2*P4</f>
        <v>287.71220152239641</v>
      </c>
      <c r="K1467" s="18" t="s">
        <v>131</v>
      </c>
      <c r="L1467" s="34" t="s">
        <v>131</v>
      </c>
    </row>
    <row r="1468" spans="1:12" s="51" customFormat="1" ht="21.95" customHeight="1" thickBot="1" x14ac:dyDescent="0.3">
      <c r="A1468" s="329"/>
      <c r="B1468" s="323"/>
      <c r="C1468" s="18">
        <f>C1467+C1466</f>
        <v>462.05556591626225</v>
      </c>
      <c r="D1468" s="18">
        <f t="shared" ref="D1468:J1468" si="821">D1467+D1466</f>
        <v>495.55068745783541</v>
      </c>
      <c r="E1468" s="18">
        <f t="shared" si="821"/>
        <v>338.98216210495207</v>
      </c>
      <c r="F1468" s="18">
        <f t="shared" si="821"/>
        <v>232.20686097231552</v>
      </c>
      <c r="G1468" s="18">
        <f t="shared" si="821"/>
        <v>287.36791298177178</v>
      </c>
      <c r="H1468" s="18">
        <f t="shared" si="821"/>
        <v>232.20686097231552</v>
      </c>
      <c r="I1468" s="18">
        <f t="shared" si="821"/>
        <v>344.49336694475551</v>
      </c>
      <c r="J1468" s="18">
        <f t="shared" si="821"/>
        <v>390.57272161695909</v>
      </c>
      <c r="K1468" s="18" t="s">
        <v>131</v>
      </c>
      <c r="L1468" s="34" t="s">
        <v>131</v>
      </c>
    </row>
    <row r="1469" spans="1:12" s="51" customFormat="1" ht="21.95" customHeight="1" thickBot="1" x14ac:dyDescent="0.3">
      <c r="A1469" s="330"/>
      <c r="B1469" s="259" t="s">
        <v>212</v>
      </c>
      <c r="C1469" s="36">
        <f>SUM(C1464:C1467)</f>
        <v>28175.105949249595</v>
      </c>
      <c r="D1469" s="36">
        <f t="shared" ref="D1469:J1469" si="822">SUM(D1464:D1467)</f>
        <v>20631.067690457832</v>
      </c>
      <c r="E1469" s="36">
        <f t="shared" si="822"/>
        <v>1255.4930618206888</v>
      </c>
      <c r="F1469" s="36">
        <f t="shared" si="822"/>
        <v>889.7174340895358</v>
      </c>
      <c r="G1469" s="36">
        <f t="shared" si="822"/>
        <v>3083.8953024567159</v>
      </c>
      <c r="H1469" s="36">
        <f t="shared" si="822"/>
        <v>669.2521919815498</v>
      </c>
      <c r="I1469" s="36">
        <f t="shared" si="822"/>
        <v>5471.9730907999283</v>
      </c>
      <c r="J1469" s="36">
        <f t="shared" si="822"/>
        <v>5385.5125006046601</v>
      </c>
      <c r="K1469" s="36" t="s">
        <v>131</v>
      </c>
      <c r="L1469" s="37" t="s">
        <v>131</v>
      </c>
    </row>
    <row r="1470" spans="1:12" s="53" customFormat="1" ht="15" hidden="1" customHeight="1" thickBot="1" x14ac:dyDescent="0.3">
      <c r="A1470" s="329" t="s">
        <v>1149</v>
      </c>
      <c r="B1470" s="321" t="s">
        <v>209</v>
      </c>
      <c r="C1470" s="9">
        <v>12906.011443010753</v>
      </c>
      <c r="D1470" s="9">
        <v>10456.935162692307</v>
      </c>
      <c r="E1470" s="9">
        <v>1377.3595311827958</v>
      </c>
      <c r="F1470" s="9">
        <v>739.31429569892487</v>
      </c>
      <c r="G1470" s="9" t="s">
        <v>131</v>
      </c>
      <c r="H1470" s="9">
        <v>737.38077526881716</v>
      </c>
      <c r="I1470" s="9">
        <v>6596.6136946236566</v>
      </c>
      <c r="J1470" s="9">
        <v>11715.086886021507</v>
      </c>
      <c r="K1470" s="9" t="s">
        <v>131</v>
      </c>
      <c r="L1470" s="20" t="s">
        <v>131</v>
      </c>
    </row>
    <row r="1471" spans="1:12" s="53" customFormat="1" ht="20.100000000000001" customHeight="1" x14ac:dyDescent="0.25">
      <c r="A1471" s="329"/>
      <c r="B1471" s="322"/>
      <c r="C1471" s="10">
        <v>27132.416666666668</v>
      </c>
      <c r="D1471" s="10">
        <f>D1470/12.79*19.53*1.039*1.15</f>
        <v>19078.731756267469</v>
      </c>
      <c r="E1471" s="10">
        <f t="shared" ref="E1471:J1471" si="823">E1470/12.79*19.53*1.039</f>
        <v>2185.2169724875685</v>
      </c>
      <c r="F1471" s="10">
        <f t="shared" si="823"/>
        <v>1172.9414944960911</v>
      </c>
      <c r="G1471" s="10" t="s">
        <v>131</v>
      </c>
      <c r="H1471" s="10">
        <f t="shared" si="823"/>
        <v>1169.873913690305</v>
      </c>
      <c r="I1471" s="10">
        <f t="shared" si="823"/>
        <v>10465.700407254419</v>
      </c>
      <c r="J1471" s="10">
        <f t="shared" si="823"/>
        <v>18586.292190185774</v>
      </c>
      <c r="K1471" s="10" t="s">
        <v>131</v>
      </c>
      <c r="L1471" s="26" t="s">
        <v>131</v>
      </c>
    </row>
    <row r="1472" spans="1:12" s="53" customFormat="1" ht="21.95" customHeight="1" x14ac:dyDescent="0.25">
      <c r="A1472" s="329"/>
      <c r="B1472" s="322"/>
      <c r="C1472" s="16">
        <f>C1471*0.0214</f>
        <v>580.63371666666671</v>
      </c>
      <c r="D1472" s="16">
        <f t="shared" ref="D1472:J1472" si="824">D1471*0.0214</f>
        <v>408.28485958412381</v>
      </c>
      <c r="E1472" s="16">
        <f t="shared" si="824"/>
        <v>46.763643211233962</v>
      </c>
      <c r="F1472" s="16">
        <f t="shared" si="824"/>
        <v>25.100947982216347</v>
      </c>
      <c r="G1472" s="16" t="s">
        <v>131</v>
      </c>
      <c r="H1472" s="16">
        <f t="shared" si="824"/>
        <v>25.035301752972526</v>
      </c>
      <c r="I1472" s="16">
        <f t="shared" si="824"/>
        <v>223.96598871524455</v>
      </c>
      <c r="J1472" s="16">
        <f t="shared" si="824"/>
        <v>397.74665286997555</v>
      </c>
      <c r="K1472" s="139" t="s">
        <v>131</v>
      </c>
      <c r="L1472" s="15" t="s">
        <v>131</v>
      </c>
    </row>
    <row r="1473" spans="1:12" s="53" customFormat="1" ht="15" hidden="1" customHeight="1" x14ac:dyDescent="0.25">
      <c r="A1473" s="329"/>
      <c r="B1473" s="322"/>
      <c r="C1473" s="16">
        <f>36540/245</f>
        <v>149.14285714285714</v>
      </c>
      <c r="D1473" s="16">
        <f>35961/245</f>
        <v>146.77959183673468</v>
      </c>
      <c r="E1473" s="16">
        <f>34976/245</f>
        <v>142.75918367346938</v>
      </c>
      <c r="F1473" s="16">
        <f>35069/2/245</f>
        <v>71.569387755102042</v>
      </c>
      <c r="G1473" s="16" t="s">
        <v>131</v>
      </c>
      <c r="H1473" s="16">
        <f>F1473</f>
        <v>71.569387755102042</v>
      </c>
      <c r="I1473" s="16">
        <f>35289/245</f>
        <v>144.03673469387755</v>
      </c>
      <c r="J1473" s="16">
        <f>34701/245</f>
        <v>141.63673469387754</v>
      </c>
      <c r="K1473" s="35" t="s">
        <v>131</v>
      </c>
      <c r="L1473" s="15" t="s">
        <v>131</v>
      </c>
    </row>
    <row r="1474" spans="1:12" s="53" customFormat="1" ht="15" hidden="1" customHeight="1" thickBot="1" x14ac:dyDescent="0.3">
      <c r="A1474" s="329"/>
      <c r="B1474" s="322"/>
      <c r="C1474" s="18">
        <f>(1/1628.1)*138458.88*1.2*P4</f>
        <v>126.40118253364754</v>
      </c>
      <c r="D1474" s="18">
        <f>(1/300)*48460.2*1.2*P4</f>
        <v>240.09070477263151</v>
      </c>
      <c r="E1474" s="18">
        <f>(1/1628.1)*92305.92*1.2*P4</f>
        <v>84.26745502243169</v>
      </c>
      <c r="F1474" s="19">
        <f>(1/1628.1)*69229.44*1.2*P4</f>
        <v>63.200591266823771</v>
      </c>
      <c r="G1474" s="24" t="s">
        <v>131</v>
      </c>
      <c r="H1474" s="24">
        <f>(1/1628.1)*69229.44*1.2*P4</f>
        <v>63.200591266823771</v>
      </c>
      <c r="I1474" s="19">
        <f>(1/1628.1)*91152.3*1.2*P4</f>
        <v>83.2142980693026</v>
      </c>
      <c r="J1474" s="19">
        <f>(1/1628.1)*113075.16*1.2*P4</f>
        <v>103.22800487178142</v>
      </c>
      <c r="K1474" s="35" t="s">
        <v>131</v>
      </c>
      <c r="L1474" s="34" t="s">
        <v>131</v>
      </c>
    </row>
    <row r="1475" spans="1:12" s="53" customFormat="1" ht="21.95" customHeight="1" thickBot="1" x14ac:dyDescent="0.3">
      <c r="A1475" s="329"/>
      <c r="B1475" s="323"/>
      <c r="C1475" s="18">
        <f>C1474+C1473</f>
        <v>275.54403967650467</v>
      </c>
      <c r="D1475" s="18">
        <f t="shared" ref="D1475:J1475" si="825">D1474+D1473</f>
        <v>386.87029660936616</v>
      </c>
      <c r="E1475" s="18">
        <f t="shared" si="825"/>
        <v>227.02663869590106</v>
      </c>
      <c r="F1475" s="18">
        <f t="shared" si="825"/>
        <v>134.76997902192582</v>
      </c>
      <c r="G1475" s="18" t="s">
        <v>131</v>
      </c>
      <c r="H1475" s="18">
        <f t="shared" si="825"/>
        <v>134.76997902192582</v>
      </c>
      <c r="I1475" s="18">
        <f t="shared" si="825"/>
        <v>227.25103276318015</v>
      </c>
      <c r="J1475" s="18">
        <f t="shared" si="825"/>
        <v>244.86473956565897</v>
      </c>
      <c r="K1475" s="10" t="s">
        <v>131</v>
      </c>
      <c r="L1475" s="34" t="s">
        <v>131</v>
      </c>
    </row>
    <row r="1476" spans="1:12" s="53" customFormat="1" ht="21.95" customHeight="1" thickBot="1" x14ac:dyDescent="0.3">
      <c r="A1476" s="330"/>
      <c r="B1476" s="259" t="s">
        <v>212</v>
      </c>
      <c r="C1476" s="36">
        <f>SUM(C1471:C1474)</f>
        <v>27988.594423009843</v>
      </c>
      <c r="D1476" s="36">
        <f t="shared" ref="D1476:J1476" si="826">SUM(D1471:D1474)</f>
        <v>19873.886912460959</v>
      </c>
      <c r="E1476" s="36">
        <f t="shared" si="826"/>
        <v>2459.0072543947035</v>
      </c>
      <c r="F1476" s="36">
        <f t="shared" si="826"/>
        <v>1332.8124215002333</v>
      </c>
      <c r="G1476" s="36" t="s">
        <v>131</v>
      </c>
      <c r="H1476" s="36">
        <f t="shared" si="826"/>
        <v>1329.6791944652034</v>
      </c>
      <c r="I1476" s="36">
        <f t="shared" si="826"/>
        <v>10916.917428732844</v>
      </c>
      <c r="J1476" s="36">
        <f t="shared" si="826"/>
        <v>19228.903582621409</v>
      </c>
      <c r="K1476" s="36" t="s">
        <v>131</v>
      </c>
      <c r="L1476" s="37" t="s">
        <v>131</v>
      </c>
    </row>
    <row r="1477" spans="1:12" s="51" customFormat="1" ht="15" hidden="1" customHeight="1" thickBot="1" x14ac:dyDescent="0.3">
      <c r="A1477" s="329" t="s">
        <v>1150</v>
      </c>
      <c r="B1477" s="321" t="s">
        <v>127</v>
      </c>
      <c r="C1477" s="9">
        <v>12288.028688477938</v>
      </c>
      <c r="D1477" s="9">
        <v>11228.901426485854</v>
      </c>
      <c r="E1477" s="9">
        <v>1133</v>
      </c>
      <c r="F1477" s="9">
        <v>813</v>
      </c>
      <c r="G1477" s="9" t="s">
        <v>131</v>
      </c>
      <c r="H1477" s="9">
        <v>343.16528645971891</v>
      </c>
      <c r="I1477" s="9">
        <v>3731.9129751876244</v>
      </c>
      <c r="J1477" s="9">
        <v>6379.2867869167103</v>
      </c>
      <c r="K1477" s="9" t="s">
        <v>131</v>
      </c>
      <c r="L1477" s="20" t="s">
        <v>131</v>
      </c>
    </row>
    <row r="1478" spans="1:12" s="51" customFormat="1" ht="20.100000000000001" customHeight="1" x14ac:dyDescent="0.25">
      <c r="A1478" s="329"/>
      <c r="B1478" s="322"/>
      <c r="C1478" s="10">
        <f>(31731+24970+24696.25)/3</f>
        <v>27132.416666666668</v>
      </c>
      <c r="D1478" s="10">
        <f>D1477/12.79*1.039*19.53*1.15</f>
        <v>20487.188157943488</v>
      </c>
      <c r="E1478" s="10">
        <f t="shared" ref="E1478:J1478" si="827">E1477/12.79*1.039*19.53</f>
        <v>1797.5341759186865</v>
      </c>
      <c r="F1478" s="10">
        <f t="shared" si="827"/>
        <v>1289.8457943706021</v>
      </c>
      <c r="G1478" s="10" t="s">
        <v>131</v>
      </c>
      <c r="H1478" s="10">
        <f t="shared" si="827"/>
        <v>544.44071526943594</v>
      </c>
      <c r="I1478" s="10">
        <f t="shared" si="827"/>
        <v>5920.7776826603176</v>
      </c>
      <c r="J1478" s="10">
        <f t="shared" si="827"/>
        <v>10120.905575877578</v>
      </c>
      <c r="K1478" s="10" t="s">
        <v>131</v>
      </c>
      <c r="L1478" s="26" t="s">
        <v>131</v>
      </c>
    </row>
    <row r="1479" spans="1:12" s="51" customFormat="1" ht="21.95" customHeight="1" x14ac:dyDescent="0.25">
      <c r="A1479" s="329"/>
      <c r="B1479" s="322"/>
      <c r="C1479" s="16">
        <f>C1478*0.0214</f>
        <v>580.63371666666671</v>
      </c>
      <c r="D1479" s="16">
        <f t="shared" ref="D1479:J1479" si="828">D1478*0.0214</f>
        <v>438.42582657999066</v>
      </c>
      <c r="E1479" s="16">
        <f t="shared" si="828"/>
        <v>38.467231364659888</v>
      </c>
      <c r="F1479" s="16">
        <f t="shared" si="828"/>
        <v>27.602699999530884</v>
      </c>
      <c r="G1479" s="16" t="s">
        <v>131</v>
      </c>
      <c r="H1479" s="16">
        <f t="shared" si="828"/>
        <v>11.651031306765928</v>
      </c>
      <c r="I1479" s="16">
        <f t="shared" si="828"/>
        <v>126.70464240893079</v>
      </c>
      <c r="J1479" s="16">
        <f t="shared" si="828"/>
        <v>216.58737932378014</v>
      </c>
      <c r="K1479" s="16" t="s">
        <v>131</v>
      </c>
      <c r="L1479" s="15" t="s">
        <v>131</v>
      </c>
    </row>
    <row r="1480" spans="1:12" s="51" customFormat="1" ht="15" hidden="1" customHeight="1" x14ac:dyDescent="0.25">
      <c r="A1480" s="329"/>
      <c r="B1480" s="322"/>
      <c r="C1480" s="16">
        <f>37194/344.5</f>
        <v>107.96516690856313</v>
      </c>
      <c r="D1480" s="16">
        <f>36447/190</f>
        <v>191.82631578947368</v>
      </c>
      <c r="E1480" s="16">
        <f>35250/344.5</f>
        <v>102.322206095791</v>
      </c>
      <c r="F1480" s="16">
        <f>35381/2/344.5</f>
        <v>51.351233671988389</v>
      </c>
      <c r="G1480" s="16" t="s">
        <v>131</v>
      </c>
      <c r="H1480" s="16">
        <f>F1480</f>
        <v>51.351233671988389</v>
      </c>
      <c r="I1480" s="16">
        <f>35690/344.5</f>
        <v>103.59941944847606</v>
      </c>
      <c r="J1480" s="16">
        <f>34818/344.5</f>
        <v>101.06821480406386</v>
      </c>
      <c r="K1480" s="16" t="s">
        <v>131</v>
      </c>
      <c r="L1480" s="15" t="s">
        <v>131</v>
      </c>
    </row>
    <row r="1481" spans="1:12" s="51" customFormat="1" ht="15" hidden="1" customHeight="1" thickBot="1" x14ac:dyDescent="0.3">
      <c r="A1481" s="329"/>
      <c r="B1481" s="322"/>
      <c r="C1481" s="9">
        <f>(1/391.74)*81075*1.2*P4</f>
        <v>307.60999125359729</v>
      </c>
      <c r="D1481" s="9">
        <f>(1/390)*68913*1.2*P4</f>
        <v>262.63218599999999</v>
      </c>
      <c r="E1481" s="9">
        <f>(1/391.74)*54050*1.2*P4</f>
        <v>205.07332750239817</v>
      </c>
      <c r="F1481" s="9">
        <f>(1/391.74)*40537*1.2*P4</f>
        <v>153.80309855623895</v>
      </c>
      <c r="G1481" s="24" t="s">
        <v>131</v>
      </c>
      <c r="H1481" s="24">
        <f>(1/391.74)*40537*1.2*P4</f>
        <v>153.80309855623895</v>
      </c>
      <c r="I1481" s="24">
        <f>(1/391.74)*53374*1.2*P4</f>
        <v>202.5084881056984</v>
      </c>
      <c r="J1481" s="24">
        <f>(1/391.74)*66210*1.2*P4</f>
        <v>251.21008351403853</v>
      </c>
      <c r="K1481" s="9" t="s">
        <v>131</v>
      </c>
      <c r="L1481" s="20" t="s">
        <v>131</v>
      </c>
    </row>
    <row r="1482" spans="1:12" s="51" customFormat="1" ht="21.95" customHeight="1" thickBot="1" x14ac:dyDescent="0.3">
      <c r="A1482" s="329"/>
      <c r="B1482" s="323"/>
      <c r="C1482" s="18">
        <f>C1481+C1480</f>
        <v>415.57515816216039</v>
      </c>
      <c r="D1482" s="18">
        <f t="shared" ref="D1482:J1482" si="829">D1481+D1480</f>
        <v>454.45850178947364</v>
      </c>
      <c r="E1482" s="18">
        <f t="shared" si="829"/>
        <v>307.39553359818916</v>
      </c>
      <c r="F1482" s="18">
        <f t="shared" si="829"/>
        <v>205.15433222822733</v>
      </c>
      <c r="G1482" s="18" t="s">
        <v>131</v>
      </c>
      <c r="H1482" s="18">
        <f t="shared" si="829"/>
        <v>205.15433222822733</v>
      </c>
      <c r="I1482" s="18">
        <f t="shared" si="829"/>
        <v>306.10790755417446</v>
      </c>
      <c r="J1482" s="18">
        <f t="shared" si="829"/>
        <v>352.27829831810237</v>
      </c>
      <c r="K1482" s="64" t="s">
        <v>131</v>
      </c>
      <c r="L1482" s="34" t="s">
        <v>131</v>
      </c>
    </row>
    <row r="1483" spans="1:12" s="51" customFormat="1" ht="21.95" customHeight="1" thickBot="1" x14ac:dyDescent="0.3">
      <c r="A1483" s="330"/>
      <c r="B1483" s="265" t="s">
        <v>212</v>
      </c>
      <c r="C1483" s="18">
        <f>SUM(C1478:C1481)</f>
        <v>28128.625541495494</v>
      </c>
      <c r="D1483" s="18">
        <f t="shared" ref="D1483:J1483" si="830">SUM(D1478:D1481)</f>
        <v>21380.072486312951</v>
      </c>
      <c r="E1483" s="18">
        <f t="shared" si="830"/>
        <v>2143.3969408815356</v>
      </c>
      <c r="F1483" s="18">
        <f t="shared" si="830"/>
        <v>1522.6028265983603</v>
      </c>
      <c r="G1483" s="18" t="s">
        <v>131</v>
      </c>
      <c r="H1483" s="18">
        <f t="shared" si="830"/>
        <v>761.24607880442932</v>
      </c>
      <c r="I1483" s="18">
        <f t="shared" si="830"/>
        <v>6353.5902326234218</v>
      </c>
      <c r="J1483" s="18">
        <f t="shared" si="830"/>
        <v>10689.771253519461</v>
      </c>
      <c r="K1483" s="64" t="s">
        <v>131</v>
      </c>
      <c r="L1483" s="34" t="s">
        <v>131</v>
      </c>
    </row>
    <row r="1484" spans="1:12" s="53" customFormat="1" ht="16.5" customHeight="1" thickBot="1" x14ac:dyDescent="0.3">
      <c r="A1484" s="311" t="s">
        <v>1151</v>
      </c>
      <c r="B1484" s="312"/>
      <c r="C1484" s="312"/>
      <c r="D1484" s="312"/>
      <c r="E1484" s="312"/>
      <c r="F1484" s="312"/>
      <c r="G1484" s="312"/>
      <c r="H1484" s="312"/>
      <c r="I1484" s="312"/>
      <c r="J1484" s="312"/>
      <c r="K1484" s="312"/>
      <c r="L1484" s="313"/>
    </row>
    <row r="1485" spans="1:12" s="51" customFormat="1" ht="18" hidden="1" customHeight="1" thickBot="1" x14ac:dyDescent="0.3">
      <c r="A1485" s="327" t="s">
        <v>1152</v>
      </c>
      <c r="B1485" s="321" t="s">
        <v>128</v>
      </c>
      <c r="C1485" s="76">
        <v>5006.3763496042211</v>
      </c>
      <c r="D1485" s="76">
        <v>6339.3450000000003</v>
      </c>
      <c r="E1485" s="76">
        <v>823.66889226033413</v>
      </c>
      <c r="F1485" s="76">
        <v>470.30557695690408</v>
      </c>
      <c r="G1485" s="76">
        <v>1152.8671486367632</v>
      </c>
      <c r="H1485" s="76">
        <v>482.40761653474055</v>
      </c>
      <c r="I1485" s="76">
        <v>2729.1337915567283</v>
      </c>
      <c r="J1485" s="76">
        <v>2560.9396416007035</v>
      </c>
      <c r="K1485" s="76" t="s">
        <v>131</v>
      </c>
      <c r="L1485" s="136" t="s">
        <v>131</v>
      </c>
    </row>
    <row r="1486" spans="1:12" s="51" customFormat="1" ht="18" customHeight="1" x14ac:dyDescent="0.25">
      <c r="A1486" s="327"/>
      <c r="B1486" s="322"/>
      <c r="C1486" s="10">
        <f>C1485/14.06*19.53*1.039</f>
        <v>7225.3013358444859</v>
      </c>
      <c r="D1486" s="10">
        <f t="shared" ref="D1486:J1486" si="831">D1485/14.06*19.53*1.039</f>
        <v>9149.0680480903284</v>
      </c>
      <c r="E1486" s="10">
        <f t="shared" si="831"/>
        <v>1188.7352312242001</v>
      </c>
      <c r="F1486" s="10">
        <f t="shared" si="831"/>
        <v>678.75430773606695</v>
      </c>
      <c r="G1486" s="10">
        <f t="shared" si="831"/>
        <v>1663.8406638675779</v>
      </c>
      <c r="H1486" s="10">
        <f t="shared" si="831"/>
        <v>696.22021054121603</v>
      </c>
      <c r="I1486" s="10">
        <f t="shared" si="831"/>
        <v>3938.7398495105199</v>
      </c>
      <c r="J1486" s="10">
        <f t="shared" si="831"/>
        <v>3695.9987266913045</v>
      </c>
      <c r="K1486" s="10" t="s">
        <v>131</v>
      </c>
      <c r="L1486" s="26" t="s">
        <v>131</v>
      </c>
    </row>
    <row r="1487" spans="1:12" s="51" customFormat="1" ht="20.100000000000001" customHeight="1" x14ac:dyDescent="0.25">
      <c r="A1487" s="327"/>
      <c r="B1487" s="322"/>
      <c r="C1487" s="16">
        <f>C1486*0.0214</f>
        <v>154.621448587072</v>
      </c>
      <c r="D1487" s="16">
        <f t="shared" ref="D1487:J1487" si="832">D1486*0.0214</f>
        <v>195.79005622913303</v>
      </c>
      <c r="E1487" s="16">
        <f t="shared" si="832"/>
        <v>25.438933948197882</v>
      </c>
      <c r="F1487" s="16">
        <f t="shared" si="832"/>
        <v>14.525342185551832</v>
      </c>
      <c r="G1487" s="16">
        <f t="shared" si="832"/>
        <v>35.606190206766165</v>
      </c>
      <c r="H1487" s="16">
        <f t="shared" si="832"/>
        <v>14.899112505582023</v>
      </c>
      <c r="I1487" s="16">
        <f t="shared" si="832"/>
        <v>84.289032779525115</v>
      </c>
      <c r="J1487" s="16">
        <f t="shared" si="832"/>
        <v>79.094372751193916</v>
      </c>
      <c r="K1487" s="16" t="s">
        <v>131</v>
      </c>
      <c r="L1487" s="15" t="s">
        <v>131</v>
      </c>
    </row>
    <row r="1488" spans="1:12" s="51" customFormat="1" ht="20.100000000000001" hidden="1" customHeight="1" x14ac:dyDescent="0.25">
      <c r="A1488" s="327"/>
      <c r="B1488" s="322"/>
      <c r="C1488" s="16">
        <f>8691/338.4</f>
        <v>25.682624113475178</v>
      </c>
      <c r="D1488" s="16">
        <f>7958/178</f>
        <v>44.707865168539328</v>
      </c>
      <c r="E1488" s="16">
        <f>6783/338.4</f>
        <v>20.044326241134755</v>
      </c>
      <c r="F1488" s="16">
        <f>6911/2/338.4</f>
        <v>10.21128841607565</v>
      </c>
      <c r="G1488" s="16">
        <f>6760/338.4</f>
        <v>19.976359338061467</v>
      </c>
      <c r="H1488" s="16">
        <f>F1488</f>
        <v>10.21128841607565</v>
      </c>
      <c r="I1488" s="16">
        <f>7215/338.4</f>
        <v>21.320921985815605</v>
      </c>
      <c r="J1488" s="16">
        <f>6358/338.4</f>
        <v>18.788416075650119</v>
      </c>
      <c r="K1488" s="16" t="s">
        <v>131</v>
      </c>
      <c r="L1488" s="15" t="s">
        <v>131</v>
      </c>
    </row>
    <row r="1489" spans="1:12" s="51" customFormat="1" ht="20.100000000000001" hidden="1" customHeight="1" thickBot="1" x14ac:dyDescent="0.3">
      <c r="A1489" s="327"/>
      <c r="B1489" s="322"/>
      <c r="C1489" s="18">
        <f>(1/338.4)*80210.76*1.2*P4</f>
        <v>352.30083778387456</v>
      </c>
      <c r="D1489" s="18">
        <f>(1/338.4)*68178.84*1.2*P4</f>
        <v>299.45436810638296</v>
      </c>
      <c r="E1489" s="18">
        <f>(1/338.4)*53473.5*1.2*P4</f>
        <v>234.86573184490479</v>
      </c>
      <c r="F1489" s="18">
        <f>(1/338.4)*40105.38*1.2*P4</f>
        <v>176.15041889193728</v>
      </c>
      <c r="G1489" s="19">
        <f>(1/338.4)*40105.38*1.2*P4</f>
        <v>176.15041889193728</v>
      </c>
      <c r="H1489" s="19">
        <f>(1/338.4)*40105.38*1.2*P4</f>
        <v>176.15041889193728</v>
      </c>
      <c r="I1489" s="19">
        <f>(1/338.4)*52805.4*1.2*P4</f>
        <v>231.93131020716683</v>
      </c>
      <c r="J1489" s="19">
        <f>(1/338.4)*65505.42*1.2*P4</f>
        <v>287.71220152239641</v>
      </c>
      <c r="K1489" s="143" t="s">
        <v>131</v>
      </c>
      <c r="L1489" s="130" t="s">
        <v>131</v>
      </c>
    </row>
    <row r="1490" spans="1:12" s="51" customFormat="1" ht="20.100000000000001" customHeight="1" thickBot="1" x14ac:dyDescent="0.3">
      <c r="A1490" s="327"/>
      <c r="B1490" s="323"/>
      <c r="C1490" s="18">
        <f>C1489+C1488</f>
        <v>377.98346189734974</v>
      </c>
      <c r="D1490" s="18">
        <f t="shared" ref="D1490:J1490" si="833">D1489+D1488</f>
        <v>344.1622332749223</v>
      </c>
      <c r="E1490" s="18">
        <f t="shared" si="833"/>
        <v>254.91005808603956</v>
      </c>
      <c r="F1490" s="18">
        <f t="shared" si="833"/>
        <v>186.36170730801294</v>
      </c>
      <c r="G1490" s="18">
        <f t="shared" si="833"/>
        <v>196.12677822999873</v>
      </c>
      <c r="H1490" s="18">
        <f t="shared" si="833"/>
        <v>186.36170730801294</v>
      </c>
      <c r="I1490" s="18">
        <f t="shared" si="833"/>
        <v>253.25223219298243</v>
      </c>
      <c r="J1490" s="18">
        <f t="shared" si="833"/>
        <v>306.50061759804652</v>
      </c>
      <c r="K1490" s="143" t="s">
        <v>131</v>
      </c>
      <c r="L1490" s="130" t="s">
        <v>131</v>
      </c>
    </row>
    <row r="1491" spans="1:12" s="51" customFormat="1" ht="20.100000000000001" customHeight="1" thickBot="1" x14ac:dyDescent="0.3">
      <c r="A1491" s="328"/>
      <c r="B1491" s="265" t="s">
        <v>212</v>
      </c>
      <c r="C1491" s="18">
        <f>SUM(C1486:C1489)</f>
        <v>7757.9062463289074</v>
      </c>
      <c r="D1491" s="18">
        <f t="shared" ref="D1491:J1491" si="834">SUM(D1486:D1489)</f>
        <v>9689.020337594382</v>
      </c>
      <c r="E1491" s="18">
        <f t="shared" si="834"/>
        <v>1469.0842232584375</v>
      </c>
      <c r="F1491" s="18">
        <f t="shared" si="834"/>
        <v>879.64135722963169</v>
      </c>
      <c r="G1491" s="18">
        <f t="shared" si="834"/>
        <v>1895.5736323043427</v>
      </c>
      <c r="H1491" s="18">
        <f t="shared" si="834"/>
        <v>897.48103035481097</v>
      </c>
      <c r="I1491" s="18">
        <f t="shared" si="834"/>
        <v>4276.2811144830275</v>
      </c>
      <c r="J1491" s="18">
        <f t="shared" si="834"/>
        <v>4081.593717040545</v>
      </c>
      <c r="K1491" s="143" t="s">
        <v>131</v>
      </c>
      <c r="L1491" s="130" t="s">
        <v>131</v>
      </c>
    </row>
    <row r="1492" spans="1:12" s="51" customFormat="1" ht="20.100000000000001" hidden="1" customHeight="1" thickBot="1" x14ac:dyDescent="0.3">
      <c r="A1492" s="327" t="s">
        <v>1153</v>
      </c>
      <c r="B1492" s="321" t="s">
        <v>129</v>
      </c>
      <c r="C1492" s="9">
        <v>5541.2363455897002</v>
      </c>
      <c r="D1492" s="9">
        <v>7272.3166945627981</v>
      </c>
      <c r="E1492" s="9">
        <v>785.74366906129933</v>
      </c>
      <c r="F1492" s="9">
        <v>414.82515734354217</v>
      </c>
      <c r="G1492" s="9" t="s">
        <v>131</v>
      </c>
      <c r="H1492" s="9">
        <v>576.50906437237416</v>
      </c>
      <c r="I1492" s="9">
        <v>3731.6027639520462</v>
      </c>
      <c r="J1492" s="9">
        <v>3300.7708081644278</v>
      </c>
      <c r="K1492" s="9" t="s">
        <v>131</v>
      </c>
      <c r="L1492" s="20" t="s">
        <v>131</v>
      </c>
    </row>
    <row r="1493" spans="1:12" s="51" customFormat="1" ht="20.100000000000001" customHeight="1" x14ac:dyDescent="0.25">
      <c r="A1493" s="327"/>
      <c r="B1493" s="322"/>
      <c r="C1493" s="7">
        <f>C1492/12.79*19.53*1.039</f>
        <v>8791.3166002120543</v>
      </c>
      <c r="D1493" s="7">
        <f t="shared" ref="D1493:J1493" si="835">D1492/12.79*19.53*1.039</f>
        <v>11537.720914899068</v>
      </c>
      <c r="E1493" s="7">
        <f t="shared" si="835"/>
        <v>1246.6029114293272</v>
      </c>
      <c r="F1493" s="7">
        <f t="shared" si="835"/>
        <v>658.13097736616373</v>
      </c>
      <c r="G1493" s="7" t="s">
        <v>131</v>
      </c>
      <c r="H1493" s="7">
        <f t="shared" si="835"/>
        <v>914.64673074690972</v>
      </c>
      <c r="I1493" s="7">
        <f t="shared" si="835"/>
        <v>5920.2855244099164</v>
      </c>
      <c r="J1493" s="7">
        <f t="shared" si="835"/>
        <v>5236.7593420567528</v>
      </c>
      <c r="K1493" s="7" t="s">
        <v>131</v>
      </c>
      <c r="L1493" s="8" t="s">
        <v>131</v>
      </c>
    </row>
    <row r="1494" spans="1:12" s="51" customFormat="1" ht="20.100000000000001" customHeight="1" x14ac:dyDescent="0.25">
      <c r="A1494" s="327"/>
      <c r="B1494" s="322"/>
      <c r="C1494" s="35">
        <f>C1493*0.0214</f>
        <v>188.13417524453794</v>
      </c>
      <c r="D1494" s="35">
        <f t="shared" ref="D1494:J1494" si="836">D1493*0.0214</f>
        <v>246.90722757884004</v>
      </c>
      <c r="E1494" s="35">
        <f t="shared" si="836"/>
        <v>26.677302304587599</v>
      </c>
      <c r="F1494" s="35">
        <f t="shared" si="836"/>
        <v>14.084002915635903</v>
      </c>
      <c r="G1494" s="35" t="s">
        <v>131</v>
      </c>
      <c r="H1494" s="35">
        <f t="shared" si="836"/>
        <v>19.573440037983868</v>
      </c>
      <c r="I1494" s="35">
        <f t="shared" si="836"/>
        <v>126.6941102223722</v>
      </c>
      <c r="J1494" s="35">
        <f t="shared" si="836"/>
        <v>112.0666499200145</v>
      </c>
      <c r="K1494" s="10" t="s">
        <v>131</v>
      </c>
      <c r="L1494" s="15" t="s">
        <v>131</v>
      </c>
    </row>
    <row r="1495" spans="1:12" s="51" customFormat="1" ht="20.100000000000001" hidden="1" customHeight="1" x14ac:dyDescent="0.25">
      <c r="A1495" s="327"/>
      <c r="B1495" s="322"/>
      <c r="C1495" s="16">
        <f>11944/725.7</f>
        <v>16.458591704561112</v>
      </c>
      <c r="D1495" s="16">
        <f>10370/400</f>
        <v>25.925000000000001</v>
      </c>
      <c r="E1495" s="16">
        <f>7851/725.7</f>
        <v>10.818520049607274</v>
      </c>
      <c r="F1495" s="16">
        <f>9102/2/725.7</f>
        <v>6.2711864406779654</v>
      </c>
      <c r="G1495" s="16" t="s">
        <v>131</v>
      </c>
      <c r="H1495" s="16">
        <f>F1495</f>
        <v>6.2711864406779654</v>
      </c>
      <c r="I1495" s="16">
        <f>10728/725.7</f>
        <v>14.782968168664736</v>
      </c>
      <c r="J1495" s="16">
        <f>6940/725.7</f>
        <v>9.5631803775664874</v>
      </c>
      <c r="K1495" s="16" t="s">
        <v>131</v>
      </c>
      <c r="L1495" s="15" t="s">
        <v>131</v>
      </c>
    </row>
    <row r="1496" spans="1:12" s="51" customFormat="1" ht="20.100000000000001" hidden="1" customHeight="1" thickBot="1" x14ac:dyDescent="0.3">
      <c r="A1496" s="327"/>
      <c r="B1496" s="322"/>
      <c r="C1496" s="18">
        <f>(1/725.7)*86482*1.2*P4</f>
        <v>177.12505599965183</v>
      </c>
      <c r="D1496" s="18">
        <f>(1/400)*73509*1.2*P4</f>
        <v>273.14416186578944</v>
      </c>
      <c r="E1496" s="18">
        <f>(1/725.7)*57654*1.2*P4</f>
        <v>118.08200525663061</v>
      </c>
      <c r="F1496" s="18">
        <f>(1/725.7)*43241*1.2*P4</f>
        <v>88.562527999825917</v>
      </c>
      <c r="G1496" s="19" t="s">
        <v>131</v>
      </c>
      <c r="H1496" s="19">
        <f>(1/725.7)*43241*1.2*P4</f>
        <v>88.562527999825917</v>
      </c>
      <c r="I1496" s="19">
        <f>(1/725.7)*56933*1.2*P4</f>
        <v>116.60531455364328</v>
      </c>
      <c r="J1496" s="19">
        <f>(1/725.7)*70627*1.2*P4</f>
        <v>144.65219733687252</v>
      </c>
      <c r="K1496" s="143" t="s">
        <v>131</v>
      </c>
      <c r="L1496" s="130" t="s">
        <v>131</v>
      </c>
    </row>
    <row r="1497" spans="1:12" s="51" customFormat="1" ht="20.100000000000001" customHeight="1" thickBot="1" x14ac:dyDescent="0.3">
      <c r="A1497" s="327"/>
      <c r="B1497" s="323"/>
      <c r="C1497" s="18">
        <f>C1496+C1495</f>
        <v>193.58364770421295</v>
      </c>
      <c r="D1497" s="18">
        <f t="shared" ref="D1497:J1497" si="837">D1496+D1495</f>
        <v>299.06916186578945</v>
      </c>
      <c r="E1497" s="18">
        <f t="shared" si="837"/>
        <v>128.90052530623788</v>
      </c>
      <c r="F1497" s="18">
        <f t="shared" si="837"/>
        <v>94.833714440503883</v>
      </c>
      <c r="G1497" s="18" t="s">
        <v>131</v>
      </c>
      <c r="H1497" s="18">
        <f t="shared" si="837"/>
        <v>94.833714440503883</v>
      </c>
      <c r="I1497" s="18">
        <f t="shared" si="837"/>
        <v>131.38828272230802</v>
      </c>
      <c r="J1497" s="18">
        <f t="shared" si="837"/>
        <v>154.215377714439</v>
      </c>
      <c r="K1497" s="165" t="s">
        <v>131</v>
      </c>
      <c r="L1497" s="130" t="s">
        <v>131</v>
      </c>
    </row>
    <row r="1498" spans="1:12" s="51" customFormat="1" ht="20.100000000000001" customHeight="1" thickBot="1" x14ac:dyDescent="0.3">
      <c r="A1498" s="328"/>
      <c r="B1498" s="265" t="s">
        <v>212</v>
      </c>
      <c r="C1498" s="36">
        <f>SUM(C1493:C1496)</f>
        <v>9173.0344231608051</v>
      </c>
      <c r="D1498" s="36">
        <f t="shared" ref="D1498:J1498" si="838">SUM(D1493:D1496)</f>
        <v>12083.697304343697</v>
      </c>
      <c r="E1498" s="36">
        <f t="shared" si="838"/>
        <v>1402.1807390401525</v>
      </c>
      <c r="F1498" s="36">
        <f t="shared" si="838"/>
        <v>767.04869472230348</v>
      </c>
      <c r="G1498" s="36" t="s">
        <v>131</v>
      </c>
      <c r="H1498" s="36">
        <f t="shared" si="838"/>
        <v>1029.0538852253976</v>
      </c>
      <c r="I1498" s="36">
        <f t="shared" si="838"/>
        <v>6178.3679173545961</v>
      </c>
      <c r="J1498" s="36">
        <f t="shared" si="838"/>
        <v>5503.0413696912065</v>
      </c>
      <c r="K1498" s="144" t="s">
        <v>131</v>
      </c>
      <c r="L1498" s="131" t="s">
        <v>131</v>
      </c>
    </row>
    <row r="1499" spans="1:12" s="51" customFormat="1" ht="20.100000000000001" customHeight="1" x14ac:dyDescent="0.25">
      <c r="A1499" s="60"/>
      <c r="B1499" s="274"/>
      <c r="C1499" s="275"/>
      <c r="D1499" s="275"/>
      <c r="E1499" s="275"/>
      <c r="F1499" s="275"/>
      <c r="G1499" s="275"/>
      <c r="H1499" s="275"/>
      <c r="I1499" s="275"/>
      <c r="J1499" s="275"/>
      <c r="K1499" s="167"/>
      <c r="L1499" s="168"/>
    </row>
    <row r="1500" spans="1:12" s="51" customFormat="1" hidden="1" x14ac:dyDescent="0.25">
      <c r="A1500" s="276"/>
      <c r="B1500" s="147"/>
    </row>
    <row r="1501" spans="1:12" s="51" customFormat="1" ht="84.75" customHeight="1" x14ac:dyDescent="0.25">
      <c r="A1501" s="276"/>
      <c r="B1501" s="320" t="s">
        <v>1154</v>
      </c>
      <c r="C1501" s="320"/>
      <c r="D1501" s="320"/>
      <c r="E1501" s="320"/>
      <c r="F1501" s="320"/>
      <c r="G1501" s="320"/>
      <c r="H1501" s="320"/>
    </row>
    <row r="1502" spans="1:12" s="51" customFormat="1" x14ac:dyDescent="0.25">
      <c r="A1502" s="146"/>
      <c r="B1502" s="147"/>
    </row>
    <row r="1503" spans="1:12" s="51" customFormat="1" x14ac:dyDescent="0.25">
      <c r="A1503" s="146"/>
      <c r="B1503" s="147"/>
    </row>
    <row r="1504" spans="1:12" s="51" customFormat="1" x14ac:dyDescent="0.25">
      <c r="A1504" s="146"/>
      <c r="B1504" s="147"/>
    </row>
    <row r="1505" spans="1:12" s="51" customFormat="1" x14ac:dyDescent="0.25">
      <c r="A1505" s="146"/>
      <c r="B1505" s="147"/>
    </row>
    <row r="1506" spans="1:12" s="151" customFormat="1" ht="36" customHeight="1" x14ac:dyDescent="0.25">
      <c r="A1506" s="148"/>
      <c r="B1506" s="331"/>
      <c r="C1506" s="331"/>
      <c r="D1506" s="331"/>
      <c r="E1506" s="331"/>
      <c r="F1506" s="149"/>
      <c r="G1506" s="51"/>
      <c r="H1506" s="331"/>
      <c r="I1506" s="331"/>
      <c r="J1506" s="331"/>
      <c r="K1506" s="331"/>
      <c r="L1506" s="150"/>
    </row>
    <row r="1507" spans="1:12" s="151" customFormat="1" ht="36" customHeight="1" x14ac:dyDescent="0.25">
      <c r="A1507" s="148"/>
      <c r="B1507" s="331"/>
      <c r="C1507" s="331"/>
      <c r="D1507" s="331"/>
      <c r="E1507" s="331"/>
      <c r="F1507" s="149"/>
      <c r="G1507" s="51"/>
      <c r="H1507" s="339"/>
      <c r="I1507" s="339"/>
      <c r="J1507" s="339"/>
      <c r="K1507" s="339"/>
      <c r="L1507" s="152"/>
    </row>
    <row r="1508" spans="1:12" s="151" customFormat="1" ht="36" customHeight="1" x14ac:dyDescent="0.25">
      <c r="A1508" s="148"/>
      <c r="B1508" s="331"/>
      <c r="C1508" s="331"/>
      <c r="D1508" s="331"/>
      <c r="E1508" s="331"/>
      <c r="F1508" s="152"/>
      <c r="G1508" s="51"/>
      <c r="H1508" s="331"/>
      <c r="I1508" s="331"/>
      <c r="J1508" s="331"/>
      <c r="K1508" s="331"/>
      <c r="L1508" s="152"/>
    </row>
    <row r="1509" spans="1:12" s="151" customFormat="1" ht="36" customHeight="1" x14ac:dyDescent="0.25">
      <c r="A1509" s="148"/>
      <c r="B1509" s="331"/>
      <c r="C1509" s="331"/>
      <c r="D1509" s="331"/>
      <c r="E1509" s="331"/>
      <c r="F1509" s="152"/>
      <c r="G1509" s="51"/>
      <c r="H1509" s="331"/>
      <c r="I1509" s="331"/>
      <c r="J1509" s="331"/>
      <c r="K1509" s="331"/>
      <c r="L1509" s="152"/>
    </row>
    <row r="1510" spans="1:12" s="151" customFormat="1" ht="36" customHeight="1" x14ac:dyDescent="0.3">
      <c r="A1510" s="148"/>
      <c r="B1510" s="338"/>
      <c r="C1510" s="338"/>
      <c r="D1510" s="153"/>
      <c r="E1510" s="153"/>
      <c r="F1510" s="153"/>
      <c r="G1510" s="51"/>
      <c r="H1510" s="154"/>
      <c r="I1510" s="155"/>
      <c r="J1510" s="156"/>
      <c r="K1510" s="156"/>
      <c r="L1510" s="156"/>
    </row>
    <row r="1511" spans="1:12" s="51" customFormat="1" x14ac:dyDescent="0.25">
      <c r="A1511" s="146"/>
      <c r="B1511" s="147"/>
    </row>
    <row r="1512" spans="1:12" s="51" customFormat="1" ht="89.25" customHeight="1" x14ac:dyDescent="0.25">
      <c r="A1512" s="320"/>
      <c r="B1512" s="320"/>
      <c r="C1512" s="320"/>
      <c r="D1512" s="320"/>
      <c r="E1512" s="320"/>
      <c r="F1512" s="320"/>
      <c r="G1512" s="320"/>
    </row>
    <row r="1513" spans="1:12" s="51" customFormat="1" x14ac:dyDescent="0.25">
      <c r="A1513" s="146"/>
      <c r="B1513" s="147"/>
    </row>
    <row r="1514" spans="1:12" s="51" customFormat="1" x14ac:dyDescent="0.25">
      <c r="A1514" s="146"/>
      <c r="B1514" s="147"/>
    </row>
    <row r="1515" spans="1:12" s="51" customFormat="1" x14ac:dyDescent="0.25">
      <c r="A1515" s="146"/>
      <c r="B1515" s="147"/>
    </row>
    <row r="1516" spans="1:12" s="51" customFormat="1" x14ac:dyDescent="0.25">
      <c r="A1516" s="146"/>
      <c r="B1516" s="147"/>
    </row>
    <row r="1517" spans="1:12" s="51" customFormat="1" x14ac:dyDescent="0.25">
      <c r="A1517" s="146"/>
      <c r="B1517" s="147"/>
    </row>
    <row r="1518" spans="1:12" s="51" customFormat="1" x14ac:dyDescent="0.25">
      <c r="A1518" s="146"/>
      <c r="B1518" s="147"/>
    </row>
  </sheetData>
  <mergeCells count="460">
    <mergeCell ref="A397:A403"/>
    <mergeCell ref="B397:B402"/>
    <mergeCell ref="A661:A667"/>
    <mergeCell ref="B661:B666"/>
    <mergeCell ref="A668:A674"/>
    <mergeCell ref="B668:B673"/>
    <mergeCell ref="A710:A716"/>
    <mergeCell ref="B710:B715"/>
    <mergeCell ref="A969:A975"/>
    <mergeCell ref="B969:B974"/>
    <mergeCell ref="A418:A424"/>
    <mergeCell ref="A425:L425"/>
    <mergeCell ref="A404:A410"/>
    <mergeCell ref="A411:A417"/>
    <mergeCell ref="B404:B409"/>
    <mergeCell ref="B411:B416"/>
    <mergeCell ref="B418:B423"/>
    <mergeCell ref="A447:A453"/>
    <mergeCell ref="A454:A460"/>
    <mergeCell ref="A461:A467"/>
    <mergeCell ref="A426:A432"/>
    <mergeCell ref="A433:A439"/>
    <mergeCell ref="A440:A446"/>
    <mergeCell ref="B426:B431"/>
    <mergeCell ref="M108:O108"/>
    <mergeCell ref="A2:A7"/>
    <mergeCell ref="B2:B7"/>
    <mergeCell ref="C2:L2"/>
    <mergeCell ref="A10:A16"/>
    <mergeCell ref="A17:A23"/>
    <mergeCell ref="A45:A51"/>
    <mergeCell ref="A52:A58"/>
    <mergeCell ref="A66:A72"/>
    <mergeCell ref="A24:A30"/>
    <mergeCell ref="A31:A37"/>
    <mergeCell ref="A38:A44"/>
    <mergeCell ref="A94:A100"/>
    <mergeCell ref="A108:A114"/>
    <mergeCell ref="A59:A65"/>
    <mergeCell ref="B59:B64"/>
    <mergeCell ref="A1:L1"/>
    <mergeCell ref="A115:A121"/>
    <mergeCell ref="A73:A79"/>
    <mergeCell ref="A80:A86"/>
    <mergeCell ref="A87:A93"/>
    <mergeCell ref="B66:B71"/>
    <mergeCell ref="B73:B78"/>
    <mergeCell ref="B80:B85"/>
    <mergeCell ref="B87:B92"/>
    <mergeCell ref="B94:B99"/>
    <mergeCell ref="B108:B113"/>
    <mergeCell ref="B115:B120"/>
    <mergeCell ref="B101:B106"/>
    <mergeCell ref="A102:A107"/>
    <mergeCell ref="A122:A128"/>
    <mergeCell ref="A129:A135"/>
    <mergeCell ref="A136:A142"/>
    <mergeCell ref="B129:B134"/>
    <mergeCell ref="B136:B141"/>
    <mergeCell ref="B122:B127"/>
    <mergeCell ref="B143:B148"/>
    <mergeCell ref="B150:B155"/>
    <mergeCell ref="B157:B162"/>
    <mergeCell ref="A185:A191"/>
    <mergeCell ref="A164:A170"/>
    <mergeCell ref="A171:A177"/>
    <mergeCell ref="A178:A184"/>
    <mergeCell ref="B164:B169"/>
    <mergeCell ref="B171:B176"/>
    <mergeCell ref="B178:B183"/>
    <mergeCell ref="B185:B190"/>
    <mergeCell ref="A143:A149"/>
    <mergeCell ref="A150:A156"/>
    <mergeCell ref="A157:A163"/>
    <mergeCell ref="A221:A227"/>
    <mergeCell ref="A228:A234"/>
    <mergeCell ref="A235:A241"/>
    <mergeCell ref="A193:A199"/>
    <mergeCell ref="A207:A213"/>
    <mergeCell ref="A214:A220"/>
    <mergeCell ref="B193:B198"/>
    <mergeCell ref="B207:B212"/>
    <mergeCell ref="B214:B219"/>
    <mergeCell ref="B221:B226"/>
    <mergeCell ref="B228:B233"/>
    <mergeCell ref="B235:B240"/>
    <mergeCell ref="A200:A206"/>
    <mergeCell ref="B200:B205"/>
    <mergeCell ref="A242:A248"/>
    <mergeCell ref="A249:A255"/>
    <mergeCell ref="A256:A262"/>
    <mergeCell ref="B242:B247"/>
    <mergeCell ref="B249:B254"/>
    <mergeCell ref="B256:B261"/>
    <mergeCell ref="B263:B268"/>
    <mergeCell ref="B270:B275"/>
    <mergeCell ref="B277:B282"/>
    <mergeCell ref="A305:A311"/>
    <mergeCell ref="A284:A290"/>
    <mergeCell ref="A291:A297"/>
    <mergeCell ref="A298:A304"/>
    <mergeCell ref="B284:B289"/>
    <mergeCell ref="B291:B296"/>
    <mergeCell ref="B298:B303"/>
    <mergeCell ref="B305:B310"/>
    <mergeCell ref="A263:A269"/>
    <mergeCell ref="A270:A276"/>
    <mergeCell ref="A277:A283"/>
    <mergeCell ref="A334:A340"/>
    <mergeCell ref="A341:A347"/>
    <mergeCell ref="A348:A354"/>
    <mergeCell ref="A313:A319"/>
    <mergeCell ref="A320:A326"/>
    <mergeCell ref="A327:A333"/>
    <mergeCell ref="B313:B318"/>
    <mergeCell ref="B320:B325"/>
    <mergeCell ref="B327:B332"/>
    <mergeCell ref="B334:B339"/>
    <mergeCell ref="B341:B346"/>
    <mergeCell ref="B348:B353"/>
    <mergeCell ref="A376:A382"/>
    <mergeCell ref="A383:A389"/>
    <mergeCell ref="A390:A396"/>
    <mergeCell ref="A355:A361"/>
    <mergeCell ref="A362:A368"/>
    <mergeCell ref="A369:A375"/>
    <mergeCell ref="B355:B359"/>
    <mergeCell ref="B362:B367"/>
    <mergeCell ref="B369:B374"/>
    <mergeCell ref="B376:B381"/>
    <mergeCell ref="B383:B388"/>
    <mergeCell ref="B390:B395"/>
    <mergeCell ref="B433:B438"/>
    <mergeCell ref="B440:B445"/>
    <mergeCell ref="B447:B452"/>
    <mergeCell ref="B454:B459"/>
    <mergeCell ref="B461:B466"/>
    <mergeCell ref="A489:A495"/>
    <mergeCell ref="A496:L496"/>
    <mergeCell ref="A468:A474"/>
    <mergeCell ref="A475:A481"/>
    <mergeCell ref="A482:A488"/>
    <mergeCell ref="B468:B473"/>
    <mergeCell ref="B475:B480"/>
    <mergeCell ref="B482:B487"/>
    <mergeCell ref="B489:B494"/>
    <mergeCell ref="A518:A524"/>
    <mergeCell ref="A525:A531"/>
    <mergeCell ref="A532:A538"/>
    <mergeCell ref="A497:A503"/>
    <mergeCell ref="A504:A510"/>
    <mergeCell ref="A511:A517"/>
    <mergeCell ref="B497:B502"/>
    <mergeCell ref="B504:B509"/>
    <mergeCell ref="B511:B516"/>
    <mergeCell ref="B518:B523"/>
    <mergeCell ref="B525:B530"/>
    <mergeCell ref="B532:B537"/>
    <mergeCell ref="A560:A566"/>
    <mergeCell ref="A567:A573"/>
    <mergeCell ref="A574:A580"/>
    <mergeCell ref="A539:A545"/>
    <mergeCell ref="A546:A552"/>
    <mergeCell ref="A553:A559"/>
    <mergeCell ref="B539:B544"/>
    <mergeCell ref="B546:B551"/>
    <mergeCell ref="B553:B558"/>
    <mergeCell ref="B560:B565"/>
    <mergeCell ref="B567:B572"/>
    <mergeCell ref="B574:B579"/>
    <mergeCell ref="A602:L602"/>
    <mergeCell ref="A603:A609"/>
    <mergeCell ref="A581:A587"/>
    <mergeCell ref="A588:A594"/>
    <mergeCell ref="A595:A601"/>
    <mergeCell ref="B581:B586"/>
    <mergeCell ref="B588:B593"/>
    <mergeCell ref="B595:B600"/>
    <mergeCell ref="B603:B608"/>
    <mergeCell ref="A631:A637"/>
    <mergeCell ref="A638:A644"/>
    <mergeCell ref="A645:A651"/>
    <mergeCell ref="A610:A616"/>
    <mergeCell ref="A617:A623"/>
    <mergeCell ref="A624:A630"/>
    <mergeCell ref="B610:B615"/>
    <mergeCell ref="B617:B622"/>
    <mergeCell ref="B624:B629"/>
    <mergeCell ref="B631:B636"/>
    <mergeCell ref="B638:B643"/>
    <mergeCell ref="B645:B650"/>
    <mergeCell ref="A675:A681"/>
    <mergeCell ref="A682:A688"/>
    <mergeCell ref="A689:A695"/>
    <mergeCell ref="A652:A658"/>
    <mergeCell ref="A659:L659"/>
    <mergeCell ref="A660:L660"/>
    <mergeCell ref="B652:B657"/>
    <mergeCell ref="B675:B680"/>
    <mergeCell ref="B682:B687"/>
    <mergeCell ref="B689:B694"/>
    <mergeCell ref="A724:A730"/>
    <mergeCell ref="A731:A737"/>
    <mergeCell ref="A738:A744"/>
    <mergeCell ref="A696:A702"/>
    <mergeCell ref="A703:A709"/>
    <mergeCell ref="A717:A723"/>
    <mergeCell ref="B696:B701"/>
    <mergeCell ref="B703:B708"/>
    <mergeCell ref="B717:B722"/>
    <mergeCell ref="B724:B729"/>
    <mergeCell ref="B731:B736"/>
    <mergeCell ref="B738:B743"/>
    <mergeCell ref="A745:A751"/>
    <mergeCell ref="A752:A758"/>
    <mergeCell ref="A759:A765"/>
    <mergeCell ref="B745:B750"/>
    <mergeCell ref="B752:B757"/>
    <mergeCell ref="B759:B764"/>
    <mergeCell ref="A789:A795"/>
    <mergeCell ref="A766:A772"/>
    <mergeCell ref="A773:A779"/>
    <mergeCell ref="A780:L780"/>
    <mergeCell ref="A788:L788"/>
    <mergeCell ref="A781:A787"/>
    <mergeCell ref="B766:B771"/>
    <mergeCell ref="B773:B778"/>
    <mergeCell ref="B781:B786"/>
    <mergeCell ref="B789:B794"/>
    <mergeCell ref="A811:A817"/>
    <mergeCell ref="A818:A824"/>
    <mergeCell ref="A796:A802"/>
    <mergeCell ref="A803:L803"/>
    <mergeCell ref="A804:A810"/>
    <mergeCell ref="B796:B801"/>
    <mergeCell ref="B818:B823"/>
    <mergeCell ref="B811:B816"/>
    <mergeCell ref="B804:B809"/>
    <mergeCell ref="A826:A832"/>
    <mergeCell ref="A840:A846"/>
    <mergeCell ref="A833:A839"/>
    <mergeCell ref="B826:B831"/>
    <mergeCell ref="B833:B838"/>
    <mergeCell ref="B840:B845"/>
    <mergeCell ref="A868:A874"/>
    <mergeCell ref="A875:A881"/>
    <mergeCell ref="A882:A888"/>
    <mergeCell ref="A847:A853"/>
    <mergeCell ref="A854:A860"/>
    <mergeCell ref="A861:A867"/>
    <mergeCell ref="B847:B852"/>
    <mergeCell ref="B854:B859"/>
    <mergeCell ref="B861:B866"/>
    <mergeCell ref="B868:B873"/>
    <mergeCell ref="B875:B880"/>
    <mergeCell ref="B882:B887"/>
    <mergeCell ref="A904:A910"/>
    <mergeCell ref="A911:A917"/>
    <mergeCell ref="A889:A895"/>
    <mergeCell ref="A896:A902"/>
    <mergeCell ref="A903:L903"/>
    <mergeCell ref="B889:B894"/>
    <mergeCell ref="B896:B901"/>
    <mergeCell ref="B911:B916"/>
    <mergeCell ref="B904:B909"/>
    <mergeCell ref="A926:A932"/>
    <mergeCell ref="A933:A939"/>
    <mergeCell ref="A940:A946"/>
    <mergeCell ref="A918:A924"/>
    <mergeCell ref="A925:L925"/>
    <mergeCell ref="B918:B923"/>
    <mergeCell ref="B926:B931"/>
    <mergeCell ref="B933:B938"/>
    <mergeCell ref="B940:B945"/>
    <mergeCell ref="A968:L968"/>
    <mergeCell ref="A976:A982"/>
    <mergeCell ref="A947:A953"/>
    <mergeCell ref="A954:A960"/>
    <mergeCell ref="A961:A967"/>
    <mergeCell ref="B947:B952"/>
    <mergeCell ref="B954:B959"/>
    <mergeCell ref="B961:B966"/>
    <mergeCell ref="B976:B981"/>
    <mergeCell ref="A1004:A1010"/>
    <mergeCell ref="A1011:A1017"/>
    <mergeCell ref="A983:A989"/>
    <mergeCell ref="A990:A996"/>
    <mergeCell ref="A997:A1003"/>
    <mergeCell ref="B990:B995"/>
    <mergeCell ref="B983:B988"/>
    <mergeCell ref="B997:B1002"/>
    <mergeCell ref="B1004:B1009"/>
    <mergeCell ref="B1011:B1016"/>
    <mergeCell ref="A1039:L1039"/>
    <mergeCell ref="A1040:A1046"/>
    <mergeCell ref="A1018:A1024"/>
    <mergeCell ref="A1025:A1031"/>
    <mergeCell ref="A1032:A1038"/>
    <mergeCell ref="B1018:B1023"/>
    <mergeCell ref="B1025:B1030"/>
    <mergeCell ref="B1032:B1037"/>
    <mergeCell ref="B1040:B1045"/>
    <mergeCell ref="A1075:A1081"/>
    <mergeCell ref="A1082:A1088"/>
    <mergeCell ref="A1089:A1095"/>
    <mergeCell ref="A1047:A1053"/>
    <mergeCell ref="A1054:A1060"/>
    <mergeCell ref="A1068:A1074"/>
    <mergeCell ref="B1047:B1052"/>
    <mergeCell ref="B1054:B1059"/>
    <mergeCell ref="B1068:B1073"/>
    <mergeCell ref="B1075:B1080"/>
    <mergeCell ref="B1082:B1087"/>
    <mergeCell ref="B1089:B1094"/>
    <mergeCell ref="A1061:A1067"/>
    <mergeCell ref="B1061:B1066"/>
    <mergeCell ref="A1104:A1110"/>
    <mergeCell ref="A1111:A1118"/>
    <mergeCell ref="A1119:A1125"/>
    <mergeCell ref="A1097:A1103"/>
    <mergeCell ref="B1097:B1102"/>
    <mergeCell ref="B1104:B1109"/>
    <mergeCell ref="B1111:B1116"/>
    <mergeCell ref="B1119:B1124"/>
    <mergeCell ref="A1140:A1146"/>
    <mergeCell ref="A1147:A1153"/>
    <mergeCell ref="A1154:A1160"/>
    <mergeCell ref="A1126:A1132"/>
    <mergeCell ref="A1133:A1139"/>
    <mergeCell ref="B1147:B1152"/>
    <mergeCell ref="B1140:B1145"/>
    <mergeCell ref="B1133:B1138"/>
    <mergeCell ref="B1126:B1131"/>
    <mergeCell ref="B1154:B1159"/>
    <mergeCell ref="A1169:A1175"/>
    <mergeCell ref="A1176:A1182"/>
    <mergeCell ref="A1162:A1168"/>
    <mergeCell ref="B1162:B1167"/>
    <mergeCell ref="B1169:B1174"/>
    <mergeCell ref="B1176:B1181"/>
    <mergeCell ref="A1212:A1218"/>
    <mergeCell ref="A1219:A1225"/>
    <mergeCell ref="A1226:A1232"/>
    <mergeCell ref="A1198:A1204"/>
    <mergeCell ref="A1205:A1211"/>
    <mergeCell ref="B1205:B1210"/>
    <mergeCell ref="B1198:B1203"/>
    <mergeCell ref="B1212:B1217"/>
    <mergeCell ref="B1219:B1224"/>
    <mergeCell ref="B1226:B1231"/>
    <mergeCell ref="A1184:A1190"/>
    <mergeCell ref="B1184:B1189"/>
    <mergeCell ref="A1191:A1197"/>
    <mergeCell ref="B1191:B1196"/>
    <mergeCell ref="A1254:A1260"/>
    <mergeCell ref="A1261:L1261"/>
    <mergeCell ref="A1233:A1239"/>
    <mergeCell ref="A1240:A1246"/>
    <mergeCell ref="A1247:A1253"/>
    <mergeCell ref="B1233:B1238"/>
    <mergeCell ref="B1240:B1245"/>
    <mergeCell ref="B1247:B1252"/>
    <mergeCell ref="B1254:B1259"/>
    <mergeCell ref="A1277:A1283"/>
    <mergeCell ref="A1284:A1290"/>
    <mergeCell ref="A1291:A1297"/>
    <mergeCell ref="A1262:A1268"/>
    <mergeCell ref="A1269:L1269"/>
    <mergeCell ref="B1262:B1267"/>
    <mergeCell ref="B1291:B1296"/>
    <mergeCell ref="B1284:B1289"/>
    <mergeCell ref="B1277:B1282"/>
    <mergeCell ref="A1270:A1276"/>
    <mergeCell ref="B1270:B1275"/>
    <mergeCell ref="A1306:A1312"/>
    <mergeCell ref="A1313:A1319"/>
    <mergeCell ref="A1320:A1326"/>
    <mergeCell ref="A1298:A1304"/>
    <mergeCell ref="A1305:L1305"/>
    <mergeCell ref="B1298:B1303"/>
    <mergeCell ref="B1306:B1311"/>
    <mergeCell ref="B1313:B1318"/>
    <mergeCell ref="B1320:B1325"/>
    <mergeCell ref="A1348:A1354"/>
    <mergeCell ref="A1355:A1361"/>
    <mergeCell ref="A1362:A1368"/>
    <mergeCell ref="A1327:A1333"/>
    <mergeCell ref="A1334:A1340"/>
    <mergeCell ref="A1341:A1347"/>
    <mergeCell ref="B1327:B1332"/>
    <mergeCell ref="B1334:B1339"/>
    <mergeCell ref="B1341:B1346"/>
    <mergeCell ref="B1348:B1353"/>
    <mergeCell ref="B1355:B1360"/>
    <mergeCell ref="B1362:B1367"/>
    <mergeCell ref="A1378:A1384"/>
    <mergeCell ref="A1369:L1369"/>
    <mergeCell ref="A1370:A1376"/>
    <mergeCell ref="B1370:B1375"/>
    <mergeCell ref="B1378:B1383"/>
    <mergeCell ref="A1406:A1412"/>
    <mergeCell ref="A1413:A1419"/>
    <mergeCell ref="A1420:A1426"/>
    <mergeCell ref="A1385:A1391"/>
    <mergeCell ref="A1392:A1398"/>
    <mergeCell ref="A1399:A1405"/>
    <mergeCell ref="B1420:B1425"/>
    <mergeCell ref="B1413:B1418"/>
    <mergeCell ref="B1399:B1404"/>
    <mergeCell ref="B1406:B1411"/>
    <mergeCell ref="B1385:B1390"/>
    <mergeCell ref="B1392:B1397"/>
    <mergeCell ref="B1435:B1440"/>
    <mergeCell ref="B1428:B1433"/>
    <mergeCell ref="A1183:L1183"/>
    <mergeCell ref="A1161:L1161"/>
    <mergeCell ref="B1510:C1510"/>
    <mergeCell ref="A1492:A1498"/>
    <mergeCell ref="B1506:E1506"/>
    <mergeCell ref="H1506:K1506"/>
    <mergeCell ref="B1507:E1507"/>
    <mergeCell ref="H1507:K1507"/>
    <mergeCell ref="B1492:B1497"/>
    <mergeCell ref="A1442:A1448"/>
    <mergeCell ref="A1449:A1455"/>
    <mergeCell ref="A1456:A1462"/>
    <mergeCell ref="B1456:B1461"/>
    <mergeCell ref="B1449:B1454"/>
    <mergeCell ref="B1442:B1447"/>
    <mergeCell ref="B1463:B1468"/>
    <mergeCell ref="B1470:B1475"/>
    <mergeCell ref="B1477:B1482"/>
    <mergeCell ref="B1485:B1490"/>
    <mergeCell ref="B1508:E1508"/>
    <mergeCell ref="H1508:K1508"/>
    <mergeCell ref="A1377:L1377"/>
    <mergeCell ref="A1096:L1096"/>
    <mergeCell ref="A825:L825"/>
    <mergeCell ref="A312:L312"/>
    <mergeCell ref="A192:L192"/>
    <mergeCell ref="A9:L9"/>
    <mergeCell ref="A1512:G1512"/>
    <mergeCell ref="B1501:H1501"/>
    <mergeCell ref="B24:B29"/>
    <mergeCell ref="B31:B36"/>
    <mergeCell ref="B38:B43"/>
    <mergeCell ref="B18:B22"/>
    <mergeCell ref="B11:B15"/>
    <mergeCell ref="B45:B50"/>
    <mergeCell ref="B52:B57"/>
    <mergeCell ref="A1484:L1484"/>
    <mergeCell ref="A1485:A1491"/>
    <mergeCell ref="A1463:A1469"/>
    <mergeCell ref="A1470:A1476"/>
    <mergeCell ref="A1477:A1483"/>
    <mergeCell ref="A1427:L1427"/>
    <mergeCell ref="B1509:E1509"/>
    <mergeCell ref="H1509:K1509"/>
    <mergeCell ref="A1428:A1434"/>
    <mergeCell ref="A1435:A1441"/>
  </mergeCells>
  <pageMargins left="0.51181102362204722" right="0.31496062992125984" top="0.31496062992125984" bottom="0.39370078740157483" header="0.31496062992125984" footer="0.11811023622047245"/>
  <pageSetup paperSize="9" fitToHeight="0" orientation="landscape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Классификация</vt:lpstr>
      <vt:lpstr>Таблица 2 Раз-р пред.стоимости</vt:lpstr>
      <vt:lpstr>'Таблица 2 Раз-р пред.стоимости'!Область_печати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Saint</dc:creator>
  <cp:lastModifiedBy>Конькова Елена Вячеславовна</cp:lastModifiedBy>
  <cp:lastPrinted>2021-02-10T21:59:55Z</cp:lastPrinted>
  <dcterms:created xsi:type="dcterms:W3CDTF">2013-11-22T00:45:37Z</dcterms:created>
  <dcterms:modified xsi:type="dcterms:W3CDTF">2021-03-04T20:44:30Z</dcterms:modified>
</cp:coreProperties>
</file>